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barr\Box\1. LIVE FILES\IMBiotechnologies\Financial Model\Model - 5-Year\"/>
    </mc:Choice>
  </mc:AlternateContent>
  <xr:revisionPtr revIDLastSave="0" documentId="13_ncr:1_{FD8A728F-36ED-44F3-8AD3-266F7D5ACD68}" xr6:coauthVersionLast="47" xr6:coauthVersionMax="47" xr10:uidLastSave="{00000000-0000-0000-0000-000000000000}"/>
  <bookViews>
    <workbookView xWindow="-105" yWindow="0" windowWidth="29010" windowHeight="15585" firstSheet="1" activeTab="1" xr2:uid="{4C73AAF0-8F58-8A45-BB6D-739C375070CF}"/>
  </bookViews>
  <sheets>
    <sheet name="__FDSCACHE__" sheetId="32" state="veryHidden" r:id="rId1"/>
    <sheet name="Key Assumptions + Summary" sheetId="33" r:id="rId2"/>
    <sheet name="3-Statement Model" sheetId="36" r:id="rId3"/>
    <sheet name="Sales, COGS, Sales Team" sheetId="29" r:id="rId4"/>
    <sheet name="Control Sheets &gt;&gt;" sheetId="35" r:id="rId5"/>
    <sheet name="Ekobi COGs - May 2023" sheetId="34" r:id="rId6"/>
    <sheet name="Market Size" sheetId="30" r:id="rId7"/>
    <sheet name="Benchmarking" sheetId="31" r:id="rId8"/>
  </sheets>
  <externalReferences>
    <externalReference r:id="rId9"/>
  </externalReferences>
  <definedNames>
    <definedName name="Client">[1]Inputs!$C$11</definedName>
    <definedName name="Inflation_rate_global">[1]Inputs!$C$13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42990.2824189815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225" i="36" l="1"/>
  <c r="AW223" i="36"/>
  <c r="AW65" i="29" l="1"/>
  <c r="AW69" i="29"/>
  <c r="BJ229" i="36"/>
  <c r="BI229" i="36"/>
  <c r="BH229" i="36"/>
  <c r="BG229" i="36"/>
  <c r="BF229" i="36"/>
  <c r="BJ228" i="36"/>
  <c r="BI228" i="36"/>
  <c r="BH228" i="36"/>
  <c r="BG228" i="36"/>
  <c r="BF228" i="36"/>
  <c r="BD229" i="36"/>
  <c r="BC229" i="36"/>
  <c r="BB229" i="36"/>
  <c r="BA229" i="36"/>
  <c r="AZ229" i="36"/>
  <c r="AY229" i="36"/>
  <c r="AX229" i="36"/>
  <c r="BD228" i="36"/>
  <c r="BC228" i="36"/>
  <c r="BB228" i="36"/>
  <c r="BA228" i="36"/>
  <c r="AZ228" i="36"/>
  <c r="AY228" i="36"/>
  <c r="AX228" i="36"/>
  <c r="AW229" i="36"/>
  <c r="AW228" i="36"/>
  <c r="BJ225" i="36"/>
  <c r="BI225" i="36"/>
  <c r="BH225" i="36"/>
  <c r="BG225" i="36"/>
  <c r="BF225" i="36"/>
  <c r="BD225" i="36"/>
  <c r="BC225" i="36"/>
  <c r="BB225" i="36"/>
  <c r="BA225" i="36"/>
  <c r="AZ225" i="36"/>
  <c r="AY225" i="36"/>
  <c r="AX225" i="36"/>
  <c r="AW224" i="36"/>
  <c r="BJ223" i="36"/>
  <c r="BI223" i="36"/>
  <c r="BH223" i="36"/>
  <c r="BG223" i="36"/>
  <c r="BF223" i="36"/>
  <c r="BD223" i="36"/>
  <c r="BC223" i="36"/>
  <c r="BB223" i="36"/>
  <c r="BA223" i="36"/>
  <c r="AZ223" i="36"/>
  <c r="AY223" i="36"/>
  <c r="AX223" i="36"/>
  <c r="AY25" i="29"/>
  <c r="E54" i="33" l="1"/>
  <c r="H63" i="36" s="1"/>
  <c r="S13" i="33"/>
  <c r="S14" i="33" s="1"/>
  <c r="S15" i="33" s="1"/>
  <c r="S16" i="33" s="1"/>
  <c r="S17" i="33" s="1"/>
  <c r="S18" i="33" s="1"/>
  <c r="S19" i="33" s="1"/>
  <c r="S20" i="33" s="1"/>
  <c r="S21" i="33" s="1"/>
  <c r="S22" i="33" s="1"/>
  <c r="S23" i="33" s="1"/>
  <c r="S24" i="33" s="1"/>
  <c r="S25" i="33" s="1"/>
  <c r="S26" i="33" s="1"/>
  <c r="S27" i="33" s="1"/>
  <c r="S28" i="33" s="1"/>
  <c r="S29" i="33" s="1"/>
  <c r="S30" i="33" s="1"/>
  <c r="S31" i="33" s="1"/>
  <c r="S32" i="33" s="1"/>
  <c r="S33" i="33" s="1"/>
  <c r="S34" i="33" s="1"/>
  <c r="S35" i="33" s="1"/>
  <c r="S36" i="33" s="1"/>
  <c r="H62" i="36"/>
  <c r="H61" i="36"/>
  <c r="H60" i="36"/>
  <c r="H59" i="36"/>
  <c r="H58" i="36"/>
  <c r="G53" i="33"/>
  <c r="I62" i="36" s="1"/>
  <c r="G52" i="33"/>
  <c r="I61" i="36" s="1"/>
  <c r="G51" i="33"/>
  <c r="I60" i="36" s="1"/>
  <c r="G50" i="33"/>
  <c r="I59" i="36" s="1"/>
  <c r="G49" i="33"/>
  <c r="I58" i="36" s="1"/>
  <c r="F61" i="36"/>
  <c r="F60" i="36"/>
  <c r="F59" i="36"/>
  <c r="F58" i="36"/>
  <c r="F62" i="36"/>
  <c r="BA49" i="29"/>
  <c r="AY49" i="29" s="1"/>
  <c r="BB49" i="29"/>
  <c r="G104" i="33"/>
  <c r="G103" i="33"/>
  <c r="G101" i="33"/>
  <c r="G54" i="33" l="1"/>
  <c r="I63" i="36" s="1"/>
  <c r="AZ49" i="29"/>
  <c r="AX49" i="29"/>
  <c r="AW49" i="29"/>
  <c r="AZ45" i="29" l="1"/>
  <c r="AY45" i="29" s="1"/>
  <c r="BI75" i="36"/>
  <c r="BJ73" i="36"/>
  <c r="BI73" i="36"/>
  <c r="BH73" i="36"/>
  <c r="G73" i="36"/>
  <c r="F71" i="36"/>
  <c r="F69" i="36"/>
  <c r="AX45" i="29" l="1"/>
  <c r="G72" i="36"/>
  <c r="BJ76" i="36" l="1"/>
  <c r="BI76" i="36"/>
  <c r="BH76" i="36"/>
  <c r="G71" i="36"/>
  <c r="G69" i="36"/>
  <c r="AK70" i="36"/>
  <c r="AL70" i="36"/>
  <c r="AM70" i="36"/>
  <c r="AN70" i="36"/>
  <c r="AO70" i="36"/>
  <c r="AP70" i="36"/>
  <c r="AQ70" i="36"/>
  <c r="AR70" i="36"/>
  <c r="AS70" i="36"/>
  <c r="AT70" i="36"/>
  <c r="AU70" i="36"/>
  <c r="AJ70" i="36"/>
  <c r="G68" i="36"/>
  <c r="F145" i="29"/>
  <c r="G145" i="29" s="1"/>
  <c r="H138" i="29"/>
  <c r="H137" i="29"/>
  <c r="L11" i="30"/>
  <c r="L10" i="30"/>
  <c r="L9" i="30"/>
  <c r="L8" i="30"/>
  <c r="L7" i="30"/>
  <c r="F63" i="36"/>
  <c r="F155" i="29"/>
  <c r="F144" i="29"/>
  <c r="F143" i="29"/>
  <c r="G60" i="36"/>
  <c r="BJ89" i="29"/>
  <c r="BI89" i="29"/>
  <c r="BH89" i="29"/>
  <c r="BG89" i="29"/>
  <c r="BF89" i="29"/>
  <c r="L40" i="30"/>
  <c r="L49" i="30"/>
  <c r="R40" i="30"/>
  <c r="L31" i="30"/>
  <c r="N14" i="30"/>
  <c r="AX224" i="36"/>
  <c r="AY224" i="36"/>
  <c r="AZ224" i="36"/>
  <c r="BA224" i="36"/>
  <c r="BB224" i="36"/>
  <c r="BC224" i="36"/>
  <c r="BD224" i="36"/>
  <c r="BF224" i="36"/>
  <c r="BG224" i="36"/>
  <c r="BH224" i="36"/>
  <c r="BI224" i="36"/>
  <c r="BJ224" i="36"/>
  <c r="G59" i="36" l="1"/>
  <c r="G62" i="36"/>
  <c r="G61" i="36"/>
  <c r="G63" i="36"/>
  <c r="M40" i="30"/>
  <c r="N40" i="30"/>
  <c r="O40" i="30"/>
  <c r="P40" i="30"/>
  <c r="Q40" i="30"/>
  <c r="L80" i="33"/>
  <c r="L74" i="33" l="1"/>
  <c r="M73" i="33"/>
  <c r="N73" i="33" s="1"/>
  <c r="O73" i="33" s="1"/>
  <c r="P73" i="33" s="1"/>
  <c r="M72" i="33"/>
  <c r="M74" i="33" s="1"/>
  <c r="L51" i="33"/>
  <c r="M50" i="33"/>
  <c r="N50" i="33" s="1"/>
  <c r="O50" i="33" s="1"/>
  <c r="P50" i="33" s="1"/>
  <c r="M49" i="33"/>
  <c r="M51" i="33" s="1"/>
  <c r="BF199" i="36"/>
  <c r="AW199" i="36"/>
  <c r="L199" i="36"/>
  <c r="BF198" i="36"/>
  <c r="BG198" i="36" s="1"/>
  <c r="BH198" i="36" s="1"/>
  <c r="BI198" i="36" s="1"/>
  <c r="BJ198" i="36" s="1"/>
  <c r="AW198" i="36"/>
  <c r="AX198" i="36" s="1"/>
  <c r="AY198" i="36" s="1"/>
  <c r="AZ198" i="36" s="1"/>
  <c r="BA198" i="36" s="1"/>
  <c r="BB198" i="36" s="1"/>
  <c r="BC198" i="36" s="1"/>
  <c r="BD198" i="36" s="1"/>
  <c r="M198" i="36"/>
  <c r="N198" i="36" s="1"/>
  <c r="O198" i="36" s="1"/>
  <c r="P198" i="36" s="1"/>
  <c r="Q198" i="36" s="1"/>
  <c r="R198" i="36" s="1"/>
  <c r="S198" i="36" s="1"/>
  <c r="T198" i="36" s="1"/>
  <c r="U198" i="36" s="1"/>
  <c r="V198" i="36" s="1"/>
  <c r="W198" i="36" s="1"/>
  <c r="X198" i="36" s="1"/>
  <c r="Y198" i="36" s="1"/>
  <c r="Z198" i="36" s="1"/>
  <c r="AA198" i="36" s="1"/>
  <c r="AB198" i="36" s="1"/>
  <c r="AC198" i="36" s="1"/>
  <c r="AD198" i="36" s="1"/>
  <c r="AE198" i="36" s="1"/>
  <c r="AF198" i="36" s="1"/>
  <c r="AG198" i="36" s="1"/>
  <c r="AH198" i="36" s="1"/>
  <c r="AI198" i="36" s="1"/>
  <c r="AJ198" i="36" s="1"/>
  <c r="AK198" i="36" s="1"/>
  <c r="AL198" i="36" s="1"/>
  <c r="AM198" i="36" s="1"/>
  <c r="AN198" i="36" s="1"/>
  <c r="AO198" i="36" s="1"/>
  <c r="AP198" i="36" s="1"/>
  <c r="AQ198" i="36" s="1"/>
  <c r="AR198" i="36" s="1"/>
  <c r="AS198" i="36" s="1"/>
  <c r="AT198" i="36" s="1"/>
  <c r="AU198" i="36" s="1"/>
  <c r="BG197" i="36"/>
  <c r="BE197" i="36"/>
  <c r="BF219" i="36" s="1"/>
  <c r="AX197" i="36"/>
  <c r="AV197" i="36"/>
  <c r="AW219" i="36" s="1"/>
  <c r="M197" i="36"/>
  <c r="M199" i="36" s="1"/>
  <c r="BJ182" i="36"/>
  <c r="BI182" i="36"/>
  <c r="BH182" i="36"/>
  <c r="BG182" i="36"/>
  <c r="BF182" i="36"/>
  <c r="L81" i="33" s="1"/>
  <c r="BD182" i="36"/>
  <c r="BC182" i="36"/>
  <c r="BB182" i="36"/>
  <c r="BA182" i="36"/>
  <c r="AZ182" i="36"/>
  <c r="AY182" i="36"/>
  <c r="AX182" i="36"/>
  <c r="AW182" i="36"/>
  <c r="BF166" i="36"/>
  <c r="AW166" i="36"/>
  <c r="L166" i="36"/>
  <c r="BF165" i="36"/>
  <c r="BG165" i="36" s="1"/>
  <c r="BH165" i="36" s="1"/>
  <c r="BI165" i="36" s="1"/>
  <c r="BJ165" i="36" s="1"/>
  <c r="AW165" i="36"/>
  <c r="AX165" i="36" s="1"/>
  <c r="AY165" i="36" s="1"/>
  <c r="AZ165" i="36" s="1"/>
  <c r="BA165" i="36" s="1"/>
  <c r="BB165" i="36" s="1"/>
  <c r="BC165" i="36" s="1"/>
  <c r="BD165" i="36" s="1"/>
  <c r="M165" i="36"/>
  <c r="N165" i="36" s="1"/>
  <c r="O165" i="36" s="1"/>
  <c r="P165" i="36" s="1"/>
  <c r="Q165" i="36" s="1"/>
  <c r="R165" i="36" s="1"/>
  <c r="S165" i="36" s="1"/>
  <c r="T165" i="36" s="1"/>
  <c r="U165" i="36" s="1"/>
  <c r="V165" i="36" s="1"/>
  <c r="W165" i="36" s="1"/>
  <c r="X165" i="36" s="1"/>
  <c r="Y165" i="36" s="1"/>
  <c r="Z165" i="36" s="1"/>
  <c r="AA165" i="36" s="1"/>
  <c r="AB165" i="36" s="1"/>
  <c r="AC165" i="36" s="1"/>
  <c r="AD165" i="36" s="1"/>
  <c r="AE165" i="36" s="1"/>
  <c r="AF165" i="36" s="1"/>
  <c r="AG165" i="36" s="1"/>
  <c r="AH165" i="36" s="1"/>
  <c r="AI165" i="36" s="1"/>
  <c r="AJ165" i="36" s="1"/>
  <c r="AK165" i="36" s="1"/>
  <c r="AL165" i="36" s="1"/>
  <c r="AM165" i="36" s="1"/>
  <c r="AN165" i="36" s="1"/>
  <c r="AO165" i="36" s="1"/>
  <c r="AP165" i="36" s="1"/>
  <c r="AQ165" i="36" s="1"/>
  <c r="AR165" i="36" s="1"/>
  <c r="AS165" i="36" s="1"/>
  <c r="AT165" i="36" s="1"/>
  <c r="AU165" i="36" s="1"/>
  <c r="BG164" i="36"/>
  <c r="BG166" i="36" s="1"/>
  <c r="BE164" i="36"/>
  <c r="AX164" i="36"/>
  <c r="AX166" i="36" s="1"/>
  <c r="AV164" i="36"/>
  <c r="M164" i="36"/>
  <c r="M166" i="36" s="1"/>
  <c r="BF154" i="36"/>
  <c r="BG154" i="36" s="1"/>
  <c r="BH154" i="36" s="1"/>
  <c r="BI154" i="36" s="1"/>
  <c r="BJ154" i="36" s="1"/>
  <c r="AW154" i="36"/>
  <c r="AX154" i="36" s="1"/>
  <c r="AY154" i="36" s="1"/>
  <c r="AZ154" i="36" s="1"/>
  <c r="BA154" i="36" s="1"/>
  <c r="BB154" i="36" s="1"/>
  <c r="BC154" i="36" s="1"/>
  <c r="BD154" i="36" s="1"/>
  <c r="AV150" i="36"/>
  <c r="BF149" i="36"/>
  <c r="L65" i="33" s="1"/>
  <c r="AW149" i="36"/>
  <c r="BF148" i="36"/>
  <c r="BG148" i="36" s="1"/>
  <c r="BH148" i="36" s="1"/>
  <c r="BI148" i="36" s="1"/>
  <c r="BJ148" i="36" s="1"/>
  <c r="AW148" i="36"/>
  <c r="AX148" i="36" s="1"/>
  <c r="AY148" i="36" s="1"/>
  <c r="AZ148" i="36" s="1"/>
  <c r="BA148" i="36" s="1"/>
  <c r="BB148" i="36" s="1"/>
  <c r="BC148" i="36" s="1"/>
  <c r="BD148" i="36" s="1"/>
  <c r="BF147" i="36"/>
  <c r="BG147" i="36" s="1"/>
  <c r="BH147" i="36" s="1"/>
  <c r="BI147" i="36" s="1"/>
  <c r="BJ147" i="36" s="1"/>
  <c r="AW147" i="36"/>
  <c r="AX147" i="36" s="1"/>
  <c r="AY147" i="36" s="1"/>
  <c r="AZ147" i="36" s="1"/>
  <c r="BA147" i="36" s="1"/>
  <c r="BB147" i="36" s="1"/>
  <c r="BC147" i="36" s="1"/>
  <c r="BD147" i="36" s="1"/>
  <c r="AV141" i="36"/>
  <c r="BF140" i="36"/>
  <c r="BG140" i="36" s="1"/>
  <c r="BH140" i="36" s="1"/>
  <c r="BI140" i="36" s="1"/>
  <c r="BJ140" i="36" s="1"/>
  <c r="AW140" i="36"/>
  <c r="AX140" i="36" s="1"/>
  <c r="AY140" i="36" s="1"/>
  <c r="AZ140" i="36" s="1"/>
  <c r="BA140" i="36" s="1"/>
  <c r="BB140" i="36" s="1"/>
  <c r="BC140" i="36" s="1"/>
  <c r="BD140" i="36" s="1"/>
  <c r="BF139" i="36"/>
  <c r="BG139" i="36" s="1"/>
  <c r="BH139" i="36" s="1"/>
  <c r="BI139" i="36" s="1"/>
  <c r="BJ139" i="36" s="1"/>
  <c r="AW139" i="36"/>
  <c r="AX139" i="36" s="1"/>
  <c r="AY139" i="36" s="1"/>
  <c r="AZ139" i="36" s="1"/>
  <c r="BA139" i="36" s="1"/>
  <c r="BB139" i="36" s="1"/>
  <c r="BC139" i="36" s="1"/>
  <c r="BD139" i="36" s="1"/>
  <c r="BF138" i="36"/>
  <c r="BG138" i="36" s="1"/>
  <c r="BH138" i="36" s="1"/>
  <c r="AW138" i="36"/>
  <c r="AX138" i="36" s="1"/>
  <c r="BF133" i="36"/>
  <c r="BG133" i="36" s="1"/>
  <c r="AW133" i="36"/>
  <c r="AX133" i="36" s="1"/>
  <c r="AY133" i="36" s="1"/>
  <c r="BF128" i="36"/>
  <c r="AW128" i="36"/>
  <c r="L128" i="36"/>
  <c r="BF127" i="36"/>
  <c r="BG127" i="36" s="1"/>
  <c r="BH127" i="36" s="1"/>
  <c r="BI127" i="36" s="1"/>
  <c r="BJ127" i="36" s="1"/>
  <c r="AW127" i="36"/>
  <c r="AX127" i="36" s="1"/>
  <c r="AY127" i="36" s="1"/>
  <c r="AZ127" i="36" s="1"/>
  <c r="BA127" i="36" s="1"/>
  <c r="BB127" i="36" s="1"/>
  <c r="BC127" i="36" s="1"/>
  <c r="BD127" i="36" s="1"/>
  <c r="M127" i="36"/>
  <c r="N127" i="36" s="1"/>
  <c r="O127" i="36" s="1"/>
  <c r="P127" i="36" s="1"/>
  <c r="Q127" i="36" s="1"/>
  <c r="R127" i="36" s="1"/>
  <c r="S127" i="36" s="1"/>
  <c r="T127" i="36" s="1"/>
  <c r="U127" i="36" s="1"/>
  <c r="V127" i="36" s="1"/>
  <c r="W127" i="36" s="1"/>
  <c r="X127" i="36" s="1"/>
  <c r="Y127" i="36" s="1"/>
  <c r="Z127" i="36" s="1"/>
  <c r="AA127" i="36" s="1"/>
  <c r="AB127" i="36" s="1"/>
  <c r="AC127" i="36" s="1"/>
  <c r="AD127" i="36" s="1"/>
  <c r="AE127" i="36" s="1"/>
  <c r="AF127" i="36" s="1"/>
  <c r="AG127" i="36" s="1"/>
  <c r="AH127" i="36" s="1"/>
  <c r="AI127" i="36" s="1"/>
  <c r="AJ127" i="36" s="1"/>
  <c r="AK127" i="36" s="1"/>
  <c r="AL127" i="36" s="1"/>
  <c r="AM127" i="36" s="1"/>
  <c r="AN127" i="36" s="1"/>
  <c r="AO127" i="36" s="1"/>
  <c r="AP127" i="36" s="1"/>
  <c r="AQ127" i="36" s="1"/>
  <c r="AR127" i="36" s="1"/>
  <c r="AS127" i="36" s="1"/>
  <c r="AT127" i="36" s="1"/>
  <c r="AU127" i="36" s="1"/>
  <c r="BG126" i="36"/>
  <c r="BH126" i="36" s="1"/>
  <c r="BH128" i="36" s="1"/>
  <c r="BE126" i="36"/>
  <c r="AX126" i="36"/>
  <c r="AY126" i="36" s="1"/>
  <c r="AY128" i="36" s="1"/>
  <c r="AV126" i="36"/>
  <c r="M126" i="36"/>
  <c r="M128" i="36" s="1"/>
  <c r="G110" i="36"/>
  <c r="J101" i="36"/>
  <c r="I101" i="36"/>
  <c r="H101" i="36"/>
  <c r="G101" i="36"/>
  <c r="G100" i="36"/>
  <c r="G99" i="36"/>
  <c r="G98" i="36"/>
  <c r="G95" i="36"/>
  <c r="G94" i="36"/>
  <c r="G93" i="36"/>
  <c r="J90" i="36"/>
  <c r="I90" i="36"/>
  <c r="H90" i="36"/>
  <c r="G90" i="36"/>
  <c r="F89" i="36"/>
  <c r="G88" i="36"/>
  <c r="G87" i="36"/>
  <c r="G86" i="36"/>
  <c r="G85" i="36"/>
  <c r="G84" i="36"/>
  <c r="G83" i="36"/>
  <c r="G82" i="36"/>
  <c r="F81" i="36"/>
  <c r="G80" i="36"/>
  <c r="G79" i="36"/>
  <c r="G78" i="36"/>
  <c r="G67" i="36"/>
  <c r="G58" i="36"/>
  <c r="J56" i="36"/>
  <c r="I56" i="36"/>
  <c r="H56" i="36"/>
  <c r="G56" i="36"/>
  <c r="G55" i="36"/>
  <c r="G54" i="36"/>
  <c r="G53" i="36"/>
  <c r="J51" i="36"/>
  <c r="I51" i="36"/>
  <c r="H51" i="36"/>
  <c r="G51" i="36"/>
  <c r="G50" i="36"/>
  <c r="G49" i="36"/>
  <c r="G48" i="36"/>
  <c r="G46" i="36"/>
  <c r="J44" i="36"/>
  <c r="I44" i="36"/>
  <c r="H44" i="36"/>
  <c r="G44" i="36"/>
  <c r="G43" i="36"/>
  <c r="G42" i="36"/>
  <c r="G41" i="36"/>
  <c r="F40" i="36"/>
  <c r="G38" i="36"/>
  <c r="J35" i="36"/>
  <c r="I35" i="36"/>
  <c r="H35" i="36"/>
  <c r="L33" i="36"/>
  <c r="G27" i="36"/>
  <c r="G26" i="36"/>
  <c r="G25" i="36"/>
  <c r="F24" i="36"/>
  <c r="F23" i="36"/>
  <c r="F22" i="36"/>
  <c r="BF13" i="36"/>
  <c r="AW13" i="36"/>
  <c r="L13" i="36"/>
  <c r="L73" i="36" s="1"/>
  <c r="BF12" i="36"/>
  <c r="BG12" i="36" s="1"/>
  <c r="BH12" i="36" s="1"/>
  <c r="BI12" i="36" s="1"/>
  <c r="BJ12" i="36" s="1"/>
  <c r="AW12" i="36"/>
  <c r="AX12" i="36" s="1"/>
  <c r="AY12" i="36" s="1"/>
  <c r="AZ12" i="36" s="1"/>
  <c r="BA12" i="36" s="1"/>
  <c r="BB12" i="36" s="1"/>
  <c r="BC12" i="36" s="1"/>
  <c r="BD12" i="36" s="1"/>
  <c r="M12" i="36"/>
  <c r="N12" i="36" s="1"/>
  <c r="O12" i="36" s="1"/>
  <c r="P12" i="36" s="1"/>
  <c r="Q12" i="36" s="1"/>
  <c r="R12" i="36" s="1"/>
  <c r="S12" i="36" s="1"/>
  <c r="T12" i="36" s="1"/>
  <c r="U12" i="36" s="1"/>
  <c r="V12" i="36" s="1"/>
  <c r="W12" i="36" s="1"/>
  <c r="X12" i="36" s="1"/>
  <c r="Y12" i="36" s="1"/>
  <c r="Z12" i="36" s="1"/>
  <c r="AA12" i="36" s="1"/>
  <c r="AB12" i="36" s="1"/>
  <c r="AC12" i="36" s="1"/>
  <c r="AD12" i="36" s="1"/>
  <c r="AE12" i="36" s="1"/>
  <c r="AF12" i="36" s="1"/>
  <c r="AG12" i="36" s="1"/>
  <c r="AH12" i="36" s="1"/>
  <c r="AI12" i="36" s="1"/>
  <c r="AJ12" i="36" s="1"/>
  <c r="AK12" i="36" s="1"/>
  <c r="AL12" i="36" s="1"/>
  <c r="AM12" i="36" s="1"/>
  <c r="AN12" i="36" s="1"/>
  <c r="AO12" i="36" s="1"/>
  <c r="AP12" i="36" s="1"/>
  <c r="AQ12" i="36" s="1"/>
  <c r="AR12" i="36" s="1"/>
  <c r="AS12" i="36" s="1"/>
  <c r="AT12" i="36" s="1"/>
  <c r="AU12" i="36" s="1"/>
  <c r="BG11" i="36"/>
  <c r="BE11" i="36"/>
  <c r="AX11" i="36"/>
  <c r="AV11" i="36"/>
  <c r="M11" i="36"/>
  <c r="N11" i="36" s="1"/>
  <c r="N13" i="36" s="1"/>
  <c r="N73" i="36" s="1"/>
  <c r="G207" i="36"/>
  <c r="G205" i="36"/>
  <c r="BF7" i="36"/>
  <c r="AW7" i="36"/>
  <c r="L7" i="36"/>
  <c r="BF6" i="36"/>
  <c r="BG6" i="36" s="1"/>
  <c r="BH6" i="36" s="1"/>
  <c r="BI6" i="36" s="1"/>
  <c r="BJ6" i="36" s="1"/>
  <c r="AW6" i="36"/>
  <c r="AX6" i="36" s="1"/>
  <c r="AY6" i="36" s="1"/>
  <c r="AZ6" i="36" s="1"/>
  <c r="BA6" i="36" s="1"/>
  <c r="BB6" i="36" s="1"/>
  <c r="BC6" i="36" s="1"/>
  <c r="BD6" i="36" s="1"/>
  <c r="M6" i="36"/>
  <c r="N6" i="36" s="1"/>
  <c r="O6" i="36" s="1"/>
  <c r="P6" i="36" s="1"/>
  <c r="Q6" i="36" s="1"/>
  <c r="R6" i="36" s="1"/>
  <c r="S6" i="36" s="1"/>
  <c r="T6" i="36" s="1"/>
  <c r="U6" i="36" s="1"/>
  <c r="V6" i="36" s="1"/>
  <c r="W6" i="36" s="1"/>
  <c r="X6" i="36" s="1"/>
  <c r="Y6" i="36" s="1"/>
  <c r="Z6" i="36" s="1"/>
  <c r="AA6" i="36" s="1"/>
  <c r="AB6" i="36" s="1"/>
  <c r="AC6" i="36" s="1"/>
  <c r="AD6" i="36" s="1"/>
  <c r="AE6" i="36" s="1"/>
  <c r="AF6" i="36" s="1"/>
  <c r="AG6" i="36" s="1"/>
  <c r="AH6" i="36" s="1"/>
  <c r="AI6" i="36" s="1"/>
  <c r="AJ6" i="36" s="1"/>
  <c r="AK6" i="36" s="1"/>
  <c r="AL6" i="36" s="1"/>
  <c r="AM6" i="36" s="1"/>
  <c r="AN6" i="36" s="1"/>
  <c r="AO6" i="36" s="1"/>
  <c r="AP6" i="36" s="1"/>
  <c r="AQ6" i="36" s="1"/>
  <c r="AR6" i="36" s="1"/>
  <c r="AS6" i="36" s="1"/>
  <c r="AT6" i="36" s="1"/>
  <c r="AU6" i="36" s="1"/>
  <c r="BG5" i="36"/>
  <c r="BH5" i="36" s="1"/>
  <c r="BH7" i="36" s="1"/>
  <c r="BE5" i="36"/>
  <c r="AX5" i="36"/>
  <c r="AY5" i="36" s="1"/>
  <c r="AY7" i="36" s="1"/>
  <c r="AV5" i="36"/>
  <c r="M5" i="36"/>
  <c r="M7" i="36" s="1"/>
  <c r="H44" i="29"/>
  <c r="H43" i="29"/>
  <c r="H42" i="29"/>
  <c r="H24" i="29"/>
  <c r="H23" i="29"/>
  <c r="H22" i="29"/>
  <c r="BD49" i="29"/>
  <c r="BC49" i="29"/>
  <c r="N71" i="36" l="1"/>
  <c r="N72" i="36"/>
  <c r="L71" i="36"/>
  <c r="L72" i="36"/>
  <c r="N68" i="36"/>
  <c r="N69" i="36"/>
  <c r="L68" i="36"/>
  <c r="L69" i="36"/>
  <c r="L58" i="36"/>
  <c r="L60" i="36"/>
  <c r="L63" i="36"/>
  <c r="L62" i="36"/>
  <c r="L61" i="36"/>
  <c r="L59" i="36"/>
  <c r="N62" i="36"/>
  <c r="N60" i="36"/>
  <c r="N63" i="36"/>
  <c r="N58" i="36"/>
  <c r="N61" i="36"/>
  <c r="N59" i="36"/>
  <c r="N126" i="36"/>
  <c r="N128" i="36" s="1"/>
  <c r="L64" i="33"/>
  <c r="L63" i="33"/>
  <c r="L55" i="33"/>
  <c r="N72" i="33"/>
  <c r="N49" i="33"/>
  <c r="AZ126" i="36"/>
  <c r="AZ128" i="36" s="1"/>
  <c r="M13" i="36"/>
  <c r="M73" i="36" s="1"/>
  <c r="AY138" i="36"/>
  <c r="AZ138" i="36" s="1"/>
  <c r="AX141" i="36"/>
  <c r="BG141" i="36"/>
  <c r="AX128" i="36"/>
  <c r="BF141" i="36"/>
  <c r="L58" i="33" s="1"/>
  <c r="AX13" i="36"/>
  <c r="AY11" i="36"/>
  <c r="BG13" i="36"/>
  <c r="BH11" i="36"/>
  <c r="O11" i="36"/>
  <c r="AX7" i="36"/>
  <c r="BI126" i="36"/>
  <c r="AZ133" i="36"/>
  <c r="AZ173" i="36" s="1"/>
  <c r="BI138" i="36"/>
  <c r="BH141" i="36"/>
  <c r="AX149" i="36"/>
  <c r="AW176" i="36"/>
  <c r="BG173" i="36"/>
  <c r="BF176" i="36"/>
  <c r="BG149" i="36"/>
  <c r="BH133" i="36"/>
  <c r="BH173" i="36" s="1"/>
  <c r="BG128" i="36"/>
  <c r="AX173" i="36"/>
  <c r="AY173" i="36"/>
  <c r="AW141" i="36"/>
  <c r="AW173" i="36"/>
  <c r="BF173" i="36"/>
  <c r="AY164" i="36"/>
  <c r="BH164" i="36"/>
  <c r="N164" i="36"/>
  <c r="AY197" i="36"/>
  <c r="AY219" i="36" s="1"/>
  <c r="BH197" i="36"/>
  <c r="BH219" i="36" s="1"/>
  <c r="AX199" i="36"/>
  <c r="BG199" i="36"/>
  <c r="AX219" i="36"/>
  <c r="BG219" i="36"/>
  <c r="N197" i="36"/>
  <c r="BG7" i="36"/>
  <c r="AZ5" i="36"/>
  <c r="BI5" i="36"/>
  <c r="N5" i="36"/>
  <c r="G143" i="29"/>
  <c r="M71" i="36" l="1"/>
  <c r="M72" i="36"/>
  <c r="M68" i="36"/>
  <c r="M69" i="36"/>
  <c r="M58" i="36"/>
  <c r="M63" i="36"/>
  <c r="M60" i="36"/>
  <c r="M61" i="36"/>
  <c r="M59" i="36"/>
  <c r="M62" i="36"/>
  <c r="O126" i="36"/>
  <c r="P126" i="36" s="1"/>
  <c r="BA126" i="36"/>
  <c r="BB126" i="36" s="1"/>
  <c r="N74" i="33"/>
  <c r="O72" i="33"/>
  <c r="N51" i="33"/>
  <c r="O49" i="33"/>
  <c r="AY141" i="36"/>
  <c r="BI128" i="36"/>
  <c r="BJ126" i="36"/>
  <c r="BJ128" i="36" s="1"/>
  <c r="O164" i="36"/>
  <c r="N166" i="36"/>
  <c r="BA138" i="36"/>
  <c r="AZ141" i="36"/>
  <c r="AY149" i="36"/>
  <c r="AX176" i="36"/>
  <c r="BG176" i="36"/>
  <c r="BH149" i="36"/>
  <c r="O13" i="36"/>
  <c r="O73" i="36" s="1"/>
  <c r="P11" i="36"/>
  <c r="N199" i="36"/>
  <c r="O197" i="36"/>
  <c r="BJ138" i="36"/>
  <c r="BJ141" i="36" s="1"/>
  <c r="BI141" i="36"/>
  <c r="BH199" i="36"/>
  <c r="BI197" i="36"/>
  <c r="BI219" i="36" s="1"/>
  <c r="BA133" i="36"/>
  <c r="BA173" i="36" s="1"/>
  <c r="BH13" i="36"/>
  <c r="BI11" i="36"/>
  <c r="AY199" i="36"/>
  <c r="AZ197" i="36"/>
  <c r="AZ219" i="36" s="1"/>
  <c r="BH166" i="36"/>
  <c r="BI164" i="36"/>
  <c r="BI133" i="36"/>
  <c r="AY166" i="36"/>
  <c r="AZ164" i="36"/>
  <c r="AY13" i="36"/>
  <c r="AZ11" i="36"/>
  <c r="AZ7" i="36"/>
  <c r="BA5" i="36"/>
  <c r="N7" i="36"/>
  <c r="O5" i="36"/>
  <c r="BI7" i="36"/>
  <c r="BJ5" i="36"/>
  <c r="BJ7" i="36" s="1"/>
  <c r="BI49" i="29"/>
  <c r="BJ49" i="29"/>
  <c r="BH49" i="29"/>
  <c r="BH60" i="36" l="1"/>
  <c r="BH58" i="36"/>
  <c r="BH62" i="36"/>
  <c r="BH59" i="36"/>
  <c r="BH61" i="36"/>
  <c r="BH63" i="36"/>
  <c r="O71" i="36"/>
  <c r="O72" i="36"/>
  <c r="O128" i="36"/>
  <c r="O68" i="36"/>
  <c r="O69" i="36"/>
  <c r="O63" i="36"/>
  <c r="O58" i="36"/>
  <c r="O60" i="36"/>
  <c r="O59" i="36"/>
  <c r="O61" i="36"/>
  <c r="O62" i="36"/>
  <c r="BA128" i="36"/>
  <c r="O74" i="33"/>
  <c r="P72" i="33"/>
  <c r="P74" i="33" s="1"/>
  <c r="O51" i="33"/>
  <c r="P49" i="33"/>
  <c r="P51" i="33" s="1"/>
  <c r="BJ133" i="36"/>
  <c r="BJ173" i="36" s="1"/>
  <c r="BI173" i="36"/>
  <c r="O199" i="36"/>
  <c r="P197" i="36"/>
  <c r="AY176" i="36"/>
  <c r="AZ149" i="36"/>
  <c r="BI166" i="36"/>
  <c r="BJ164" i="36"/>
  <c r="BJ166" i="36" s="1"/>
  <c r="BH176" i="36"/>
  <c r="BI149" i="36"/>
  <c r="BI13" i="36"/>
  <c r="BJ11" i="36"/>
  <c r="O166" i="36"/>
  <c r="P164" i="36"/>
  <c r="AZ166" i="36"/>
  <c r="BA164" i="36"/>
  <c r="BB133" i="36"/>
  <c r="BB173" i="36" s="1"/>
  <c r="BB138" i="36"/>
  <c r="BA141" i="36"/>
  <c r="AZ199" i="36"/>
  <c r="BA197" i="36"/>
  <c r="BA219" i="36" s="1"/>
  <c r="BB128" i="36"/>
  <c r="BC126" i="36"/>
  <c r="BI199" i="36"/>
  <c r="BJ197" i="36"/>
  <c r="BJ199" i="36" s="1"/>
  <c r="AZ13" i="36"/>
  <c r="BA11" i="36"/>
  <c r="P128" i="36"/>
  <c r="Q126" i="36"/>
  <c r="P13" i="36"/>
  <c r="P73" i="36" s="1"/>
  <c r="Q11" i="36"/>
  <c r="BA7" i="36"/>
  <c r="BB5" i="36"/>
  <c r="O7" i="36"/>
  <c r="P5" i="36"/>
  <c r="BJ149" i="29"/>
  <c r="BI149" i="29"/>
  <c r="BH149" i="29"/>
  <c r="BG149" i="29"/>
  <c r="BF149" i="29"/>
  <c r="BD149" i="29"/>
  <c r="BC149" i="29"/>
  <c r="BB149" i="29"/>
  <c r="BA149" i="29"/>
  <c r="AZ149" i="29"/>
  <c r="AY149" i="29"/>
  <c r="AX149" i="29"/>
  <c r="AW149" i="29"/>
  <c r="G144" i="29"/>
  <c r="F133" i="29"/>
  <c r="BI133" i="29" s="1"/>
  <c r="C32" i="30"/>
  <c r="C34" i="30" s="1"/>
  <c r="BJ105" i="29" s="1"/>
  <c r="C23" i="30"/>
  <c r="C25" i="30" s="1"/>
  <c r="BI60" i="36" l="1"/>
  <c r="BI58" i="36"/>
  <c r="BI63" i="36"/>
  <c r="BI61" i="36"/>
  <c r="BI59" i="36"/>
  <c r="BI62" i="36"/>
  <c r="P71" i="36"/>
  <c r="P72" i="36"/>
  <c r="P68" i="36"/>
  <c r="P69" i="36"/>
  <c r="P58" i="36"/>
  <c r="P63" i="36"/>
  <c r="P60" i="36"/>
  <c r="P61" i="36"/>
  <c r="P59" i="36"/>
  <c r="P62" i="36"/>
  <c r="BI106" i="29"/>
  <c r="BF106" i="29"/>
  <c r="BH106" i="29"/>
  <c r="BG106" i="29"/>
  <c r="BJ106" i="29"/>
  <c r="BJ107" i="29" s="1"/>
  <c r="BH105" i="29"/>
  <c r="BI105" i="29"/>
  <c r="BF105" i="29"/>
  <c r="BG105" i="29"/>
  <c r="BJ13" i="36"/>
  <c r="BA166" i="36"/>
  <c r="BB164" i="36"/>
  <c r="BJ219" i="36"/>
  <c r="Q128" i="36"/>
  <c r="R126" i="36"/>
  <c r="BB141" i="36"/>
  <c r="BC138" i="36"/>
  <c r="BA149" i="36"/>
  <c r="AZ176" i="36"/>
  <c r="BA199" i="36"/>
  <c r="BB197" i="36"/>
  <c r="BB219" i="36" s="1"/>
  <c r="R11" i="36"/>
  <c r="Q13" i="36"/>
  <c r="Q73" i="36" s="1"/>
  <c r="P166" i="36"/>
  <c r="Q164" i="36"/>
  <c r="BC128" i="36"/>
  <c r="BD126" i="36"/>
  <c r="BD128" i="36" s="1"/>
  <c r="BC133" i="36"/>
  <c r="BC173" i="36" s="1"/>
  <c r="BA13" i="36"/>
  <c r="BB11" i="36"/>
  <c r="BI176" i="36"/>
  <c r="BJ149" i="36"/>
  <c r="BJ176" i="36" s="1"/>
  <c r="P199" i="36"/>
  <c r="Q197" i="36"/>
  <c r="P7" i="36"/>
  <c r="Q5" i="36"/>
  <c r="BB7" i="36"/>
  <c r="BC5" i="36"/>
  <c r="BA133" i="29"/>
  <c r="AZ133" i="29"/>
  <c r="BJ133" i="29"/>
  <c r="AY133" i="29"/>
  <c r="AX133" i="29"/>
  <c r="AW133" i="29"/>
  <c r="BF133" i="29"/>
  <c r="H133" i="29"/>
  <c r="BD133" i="29"/>
  <c r="BG133" i="29"/>
  <c r="BC133" i="29"/>
  <c r="BH133" i="29"/>
  <c r="BB133" i="29"/>
  <c r="BJ60" i="36" l="1"/>
  <c r="BJ58" i="36"/>
  <c r="BJ63" i="36"/>
  <c r="BJ62" i="36"/>
  <c r="BJ59" i="36"/>
  <c r="BJ61" i="36"/>
  <c r="Q71" i="36"/>
  <c r="Q72" i="36"/>
  <c r="Q68" i="36"/>
  <c r="Q69" i="36"/>
  <c r="Q60" i="36"/>
  <c r="Q58" i="36"/>
  <c r="Q63" i="36"/>
  <c r="Q61" i="36"/>
  <c r="Q59" i="36"/>
  <c r="Q62" i="36"/>
  <c r="BF107" i="29"/>
  <c r="BH107" i="29"/>
  <c r="BI107" i="29"/>
  <c r="BG107" i="29"/>
  <c r="BB166" i="36"/>
  <c r="BC164" i="36"/>
  <c r="Q199" i="36"/>
  <c r="R197" i="36"/>
  <c r="Q166" i="36"/>
  <c r="R164" i="36"/>
  <c r="BB149" i="36"/>
  <c r="BA176" i="36"/>
  <c r="BD138" i="36"/>
  <c r="BD141" i="36" s="1"/>
  <c r="BC141" i="36"/>
  <c r="BC11" i="36"/>
  <c r="BB13" i="36"/>
  <c r="R13" i="36"/>
  <c r="R73" i="36" s="1"/>
  <c r="S11" i="36"/>
  <c r="R128" i="36"/>
  <c r="S126" i="36"/>
  <c r="BD133" i="36"/>
  <c r="BD173" i="36" s="1"/>
  <c r="BB199" i="36"/>
  <c r="BC197" i="36"/>
  <c r="BC219" i="36" s="1"/>
  <c r="R5" i="36"/>
  <c r="Q7" i="36"/>
  <c r="BC7" i="36"/>
  <c r="BD5" i="36"/>
  <c r="BD7" i="36" s="1"/>
  <c r="G100" i="33"/>
  <c r="R71" i="36" l="1"/>
  <c r="R72" i="36"/>
  <c r="R68" i="36"/>
  <c r="R69" i="36"/>
  <c r="R60" i="36"/>
  <c r="R58" i="36"/>
  <c r="R61" i="36"/>
  <c r="R63" i="36"/>
  <c r="R59" i="36"/>
  <c r="R62" i="36"/>
  <c r="S128" i="36"/>
  <c r="T126" i="36"/>
  <c r="BC149" i="36"/>
  <c r="BB176" i="36"/>
  <c r="R166" i="36"/>
  <c r="S164" i="36"/>
  <c r="BD164" i="36"/>
  <c r="BD166" i="36" s="1"/>
  <c r="BC166" i="36"/>
  <c r="BD197" i="36"/>
  <c r="BD199" i="36" s="1"/>
  <c r="BC199" i="36"/>
  <c r="BC13" i="36"/>
  <c r="BD11" i="36"/>
  <c r="S13" i="36"/>
  <c r="S73" i="36" s="1"/>
  <c r="T11" i="36"/>
  <c r="R199" i="36"/>
  <c r="S197" i="36"/>
  <c r="R7" i="36"/>
  <c r="S5" i="36"/>
  <c r="S71" i="36" l="1"/>
  <c r="S72" i="36"/>
  <c r="S68" i="36"/>
  <c r="S69" i="36"/>
  <c r="S60" i="36"/>
  <c r="S58" i="36"/>
  <c r="S63" i="36"/>
  <c r="S59" i="36"/>
  <c r="S61" i="36"/>
  <c r="S62" i="36"/>
  <c r="BD13" i="36"/>
  <c r="BD219" i="36"/>
  <c r="S166" i="36"/>
  <c r="T164" i="36"/>
  <c r="S199" i="36"/>
  <c r="T197" i="36"/>
  <c r="T13" i="36"/>
  <c r="T73" i="36" s="1"/>
  <c r="U11" i="36"/>
  <c r="BC176" i="36"/>
  <c r="BD149" i="36"/>
  <c r="BD176" i="36" s="1"/>
  <c r="T128" i="36"/>
  <c r="U126" i="36"/>
  <c r="S7" i="36"/>
  <c r="T5" i="36"/>
  <c r="H125" i="29"/>
  <c r="G125" i="29"/>
  <c r="H122" i="29"/>
  <c r="G122" i="29"/>
  <c r="F118" i="34"/>
  <c r="F115" i="34"/>
  <c r="F113" i="34"/>
  <c r="D108" i="34"/>
  <c r="E90" i="34"/>
  <c r="E91" i="34" s="1"/>
  <c r="E92" i="34" s="1"/>
  <c r="E93" i="34" s="1"/>
  <c r="C90" i="34"/>
  <c r="C91" i="34" s="1"/>
  <c r="C92" i="34" s="1"/>
  <c r="C93" i="34" s="1"/>
  <c r="H65" i="34"/>
  <c r="C65" i="34"/>
  <c r="H53" i="34"/>
  <c r="H55" i="34" s="1"/>
  <c r="H56" i="34" s="1"/>
  <c r="D53" i="34"/>
  <c r="D55" i="34" s="1"/>
  <c r="D56" i="34" s="1"/>
  <c r="C53" i="34"/>
  <c r="C55" i="34" s="1"/>
  <c r="C56" i="34" s="1"/>
  <c r="C46" i="34"/>
  <c r="D110" i="34" s="1"/>
  <c r="D45" i="34"/>
  <c r="H44" i="34"/>
  <c r="D44" i="34"/>
  <c r="H43" i="34"/>
  <c r="H46" i="34" s="1"/>
  <c r="D43" i="34"/>
  <c r="D42" i="34"/>
  <c r="H38" i="34"/>
  <c r="G38" i="34"/>
  <c r="D38" i="34"/>
  <c r="E108" i="34" s="1"/>
  <c r="F108" i="34" s="1"/>
  <c r="D29" i="34"/>
  <c r="E107" i="34" s="1"/>
  <c r="C29" i="34"/>
  <c r="D107" i="34" s="1"/>
  <c r="H28" i="34"/>
  <c r="H27" i="34"/>
  <c r="H25" i="34"/>
  <c r="G23" i="34"/>
  <c r="D22" i="34"/>
  <c r="D21" i="34"/>
  <c r="C20" i="34"/>
  <c r="D20" i="34" s="1"/>
  <c r="D19" i="34"/>
  <c r="D18" i="34"/>
  <c r="H17" i="34"/>
  <c r="C17" i="34"/>
  <c r="D17" i="34" s="1"/>
  <c r="H16" i="34"/>
  <c r="C16" i="34"/>
  <c r="D16" i="34" s="1"/>
  <c r="D15" i="34"/>
  <c r="H14" i="34"/>
  <c r="C14" i="34"/>
  <c r="C23" i="34" s="1"/>
  <c r="D106" i="34" s="1"/>
  <c r="D12" i="34"/>
  <c r="E105" i="34" s="1"/>
  <c r="C12" i="34"/>
  <c r="D105" i="34" s="1"/>
  <c r="T71" i="36" l="1"/>
  <c r="T72" i="36"/>
  <c r="T68" i="36"/>
  <c r="T69" i="36"/>
  <c r="T63" i="36"/>
  <c r="T60" i="36"/>
  <c r="T58" i="36"/>
  <c r="T62" i="36"/>
  <c r="T61" i="36"/>
  <c r="T59" i="36"/>
  <c r="U128" i="36"/>
  <c r="V126" i="36"/>
  <c r="T199" i="36"/>
  <c r="U197" i="36"/>
  <c r="V11" i="36"/>
  <c r="U13" i="36"/>
  <c r="U73" i="36" s="1"/>
  <c r="T166" i="36"/>
  <c r="U164" i="36"/>
  <c r="T7" i="36"/>
  <c r="U5" i="36"/>
  <c r="D109" i="34"/>
  <c r="D111" i="34" s="1"/>
  <c r="D114" i="34" s="1"/>
  <c r="D116" i="34" s="1"/>
  <c r="D33" i="33" s="1"/>
  <c r="D34" i="33" s="1"/>
  <c r="H119" i="29" s="1"/>
  <c r="BG119" i="29" s="1"/>
  <c r="D46" i="34"/>
  <c r="E110" i="34" s="1"/>
  <c r="F110" i="34" s="1"/>
  <c r="F107" i="34"/>
  <c r="H29" i="34"/>
  <c r="F105" i="34"/>
  <c r="H12" i="34"/>
  <c r="C40" i="34"/>
  <c r="C47" i="34" s="1"/>
  <c r="C51" i="34" s="1"/>
  <c r="C58" i="34" s="1"/>
  <c r="C88" i="34" s="1"/>
  <c r="D14" i="34"/>
  <c r="D23" i="34" s="1"/>
  <c r="E106" i="34" s="1"/>
  <c r="F106" i="34" s="1"/>
  <c r="H20" i="34"/>
  <c r="H23" i="34" s="1"/>
  <c r="BF119" i="29" l="1"/>
  <c r="U71" i="36"/>
  <c r="U72" i="36"/>
  <c r="U68" i="36"/>
  <c r="U69" i="36"/>
  <c r="U63" i="36"/>
  <c r="U60" i="36"/>
  <c r="U58" i="36"/>
  <c r="U61" i="36"/>
  <c r="U59" i="36"/>
  <c r="U62" i="36"/>
  <c r="U199" i="36"/>
  <c r="V197" i="36"/>
  <c r="V13" i="36"/>
  <c r="V73" i="36" s="1"/>
  <c r="W11" i="36"/>
  <c r="V128" i="36"/>
  <c r="W126" i="36"/>
  <c r="U166" i="36"/>
  <c r="V164" i="36"/>
  <c r="U7" i="36"/>
  <c r="V5" i="36"/>
  <c r="D120" i="34"/>
  <c r="D121" i="34" s="1"/>
  <c r="H40" i="34"/>
  <c r="H47" i="34" s="1"/>
  <c r="H51" i="34" s="1"/>
  <c r="H58" i="34" s="1"/>
  <c r="E109" i="34"/>
  <c r="D40" i="34"/>
  <c r="D47" i="34" s="1"/>
  <c r="D51" i="34" s="1"/>
  <c r="D58" i="34" s="1"/>
  <c r="V71" i="36" l="1"/>
  <c r="V72" i="36"/>
  <c r="V68" i="36"/>
  <c r="V69" i="36"/>
  <c r="V63" i="36"/>
  <c r="V62" i="36"/>
  <c r="V60" i="36"/>
  <c r="V58" i="36"/>
  <c r="V59" i="36"/>
  <c r="V61" i="36"/>
  <c r="V166" i="36"/>
  <c r="W164" i="36"/>
  <c r="V199" i="36"/>
  <c r="W197" i="36"/>
  <c r="W128" i="36"/>
  <c r="X126" i="36"/>
  <c r="W13" i="36"/>
  <c r="W73" i="36" s="1"/>
  <c r="X11" i="36"/>
  <c r="V7" i="36"/>
  <c r="W5" i="36"/>
  <c r="E111" i="34"/>
  <c r="F109" i="34"/>
  <c r="W71" i="36" l="1"/>
  <c r="W72" i="36"/>
  <c r="W68" i="36"/>
  <c r="W69" i="36"/>
  <c r="W63" i="36"/>
  <c r="W60" i="36"/>
  <c r="W58" i="36"/>
  <c r="W59" i="36"/>
  <c r="W61" i="36"/>
  <c r="W62" i="36"/>
  <c r="X128" i="36"/>
  <c r="Y126" i="36"/>
  <c r="X197" i="36"/>
  <c r="W199" i="36"/>
  <c r="W166" i="36"/>
  <c r="X164" i="36"/>
  <c r="Y11" i="36"/>
  <c r="X13" i="36"/>
  <c r="X73" i="36" s="1"/>
  <c r="X5" i="36"/>
  <c r="W7" i="36"/>
  <c r="F111" i="34"/>
  <c r="E114" i="34"/>
  <c r="X71" i="36" l="1"/>
  <c r="X72" i="36"/>
  <c r="X68" i="36"/>
  <c r="X69" i="36"/>
  <c r="X58" i="36"/>
  <c r="X60" i="36"/>
  <c r="X63" i="36"/>
  <c r="X61" i="36"/>
  <c r="X62" i="36"/>
  <c r="X59" i="36"/>
  <c r="X199" i="36"/>
  <c r="Y197" i="36"/>
  <c r="Y13" i="36"/>
  <c r="Y73" i="36" s="1"/>
  <c r="Z11" i="36"/>
  <c r="Z126" i="36"/>
  <c r="Y128" i="36"/>
  <c r="X166" i="36"/>
  <c r="Y164" i="36"/>
  <c r="X7" i="36"/>
  <c r="Y5" i="36"/>
  <c r="E116" i="34"/>
  <c r="F114" i="34"/>
  <c r="Y71" i="36" l="1"/>
  <c r="Y72" i="36"/>
  <c r="Y68" i="36"/>
  <c r="Y69" i="36"/>
  <c r="Y60" i="36"/>
  <c r="Y58" i="36"/>
  <c r="Y63" i="36"/>
  <c r="Y59" i="36"/>
  <c r="Y62" i="36"/>
  <c r="Y61" i="36"/>
  <c r="Z128" i="36"/>
  <c r="AA126" i="36"/>
  <c r="Z13" i="36"/>
  <c r="Z73" i="36" s="1"/>
  <c r="AA11" i="36"/>
  <c r="Y166" i="36"/>
  <c r="Z164" i="36"/>
  <c r="Y199" i="36"/>
  <c r="Z197" i="36"/>
  <c r="Y7" i="36"/>
  <c r="Z5" i="36"/>
  <c r="F116" i="34"/>
  <c r="E120" i="34"/>
  <c r="Z71" i="36" l="1"/>
  <c r="Z72" i="36"/>
  <c r="Z68" i="36"/>
  <c r="Z69" i="36"/>
  <c r="Z61" i="36"/>
  <c r="Z60" i="36"/>
  <c r="Z58" i="36"/>
  <c r="Z63" i="36"/>
  <c r="Z59" i="36"/>
  <c r="Z62" i="36"/>
  <c r="Z166" i="36"/>
  <c r="AA164" i="36"/>
  <c r="AA13" i="36"/>
  <c r="AA73" i="36" s="1"/>
  <c r="AB11" i="36"/>
  <c r="Z199" i="36"/>
  <c r="AA197" i="36"/>
  <c r="AB126" i="36"/>
  <c r="AA128" i="36"/>
  <c r="Z7" i="36"/>
  <c r="AA5" i="36"/>
  <c r="E121" i="34"/>
  <c r="F121" i="34" s="1"/>
  <c r="F120" i="34"/>
  <c r="AA71" i="36" l="1"/>
  <c r="AA72" i="36"/>
  <c r="AA68" i="36"/>
  <c r="AA69" i="36"/>
  <c r="AA60" i="36"/>
  <c r="AA58" i="36"/>
  <c r="AA63" i="36"/>
  <c r="AA59" i="36"/>
  <c r="AA62" i="36"/>
  <c r="AA61" i="36"/>
  <c r="AC126" i="36"/>
  <c r="AB128" i="36"/>
  <c r="AB13" i="36"/>
  <c r="AB73" i="36" s="1"/>
  <c r="AC11" i="36"/>
  <c r="AA199" i="36"/>
  <c r="AB197" i="36"/>
  <c r="AA166" i="36"/>
  <c r="AB164" i="36"/>
  <c r="AA7" i="36"/>
  <c r="AB5" i="36"/>
  <c r="AB71" i="36" l="1"/>
  <c r="AB72" i="36"/>
  <c r="AB68" i="36"/>
  <c r="AB69" i="36"/>
  <c r="AB63" i="36"/>
  <c r="AB60" i="36"/>
  <c r="AB58" i="36"/>
  <c r="AB59" i="36"/>
  <c r="AB62" i="36"/>
  <c r="AB61" i="36"/>
  <c r="AB199" i="36"/>
  <c r="AC197" i="36"/>
  <c r="AC13" i="36"/>
  <c r="AC73" i="36" s="1"/>
  <c r="AD11" i="36"/>
  <c r="AB166" i="36"/>
  <c r="AC164" i="36"/>
  <c r="AC128" i="36"/>
  <c r="AD126" i="36"/>
  <c r="AC5" i="36"/>
  <c r="AB7" i="36"/>
  <c r="AC71" i="36" l="1"/>
  <c r="AC72" i="36"/>
  <c r="AC68" i="36"/>
  <c r="AC69" i="36"/>
  <c r="AC63" i="36"/>
  <c r="AC58" i="36"/>
  <c r="AC62" i="36"/>
  <c r="AC60" i="36"/>
  <c r="AC61" i="36"/>
  <c r="AC59" i="36"/>
  <c r="AC166" i="36"/>
  <c r="AD164" i="36"/>
  <c r="AD13" i="36"/>
  <c r="AD73" i="36" s="1"/>
  <c r="AE11" i="36"/>
  <c r="AE126" i="36"/>
  <c r="AD128" i="36"/>
  <c r="AC199" i="36"/>
  <c r="AD197" i="36"/>
  <c r="AC7" i="36"/>
  <c r="AD5" i="36"/>
  <c r="L9" i="33"/>
  <c r="M8" i="33"/>
  <c r="N8" i="33" s="1"/>
  <c r="O8" i="33" s="1"/>
  <c r="P8" i="33" s="1"/>
  <c r="M7" i="33"/>
  <c r="BJ45" i="29"/>
  <c r="BI45" i="29"/>
  <c r="BH45" i="29"/>
  <c r="BD45" i="29"/>
  <c r="BG45" i="29" s="1"/>
  <c r="BJ25" i="29"/>
  <c r="BI25" i="29"/>
  <c r="BH25" i="29"/>
  <c r="BD25" i="29"/>
  <c r="BA25" i="29" s="1"/>
  <c r="AZ25" i="29"/>
  <c r="BF25" i="29" s="1"/>
  <c r="BJ54" i="29"/>
  <c r="BI54" i="29"/>
  <c r="BH54" i="29"/>
  <c r="BD54" i="29"/>
  <c r="BC54" i="29"/>
  <c r="BB54" i="29"/>
  <c r="BA54" i="29"/>
  <c r="AZ54" i="29"/>
  <c r="AY54" i="29"/>
  <c r="AX54" i="29"/>
  <c r="AW54" i="29"/>
  <c r="BJ34" i="29"/>
  <c r="BI34" i="29"/>
  <c r="BH34" i="29"/>
  <c r="BD34" i="29"/>
  <c r="BC34" i="29"/>
  <c r="BB34" i="29"/>
  <c r="BA34" i="29"/>
  <c r="AZ34" i="29"/>
  <c r="AY34" i="29"/>
  <c r="AX34" i="29"/>
  <c r="AW34" i="29"/>
  <c r="BJ29" i="29"/>
  <c r="BI29" i="29"/>
  <c r="BH29" i="29"/>
  <c r="BD29" i="29"/>
  <c r="BC29" i="29"/>
  <c r="BB29" i="29"/>
  <c r="F15" i="29"/>
  <c r="F95" i="33"/>
  <c r="H95" i="33" s="1"/>
  <c r="H97" i="33" s="1"/>
  <c r="D97" i="33"/>
  <c r="E97" i="33"/>
  <c r="G97" i="33"/>
  <c r="D100" i="33"/>
  <c r="E100" i="33"/>
  <c r="F101" i="33"/>
  <c r="H101" i="33" s="1"/>
  <c r="F102" i="33"/>
  <c r="F103" i="33"/>
  <c r="H103" i="33" s="1"/>
  <c r="F104" i="33"/>
  <c r="H104" i="33" s="1"/>
  <c r="L11" i="31"/>
  <c r="M11" i="31"/>
  <c r="N11" i="31"/>
  <c r="BE5" i="29"/>
  <c r="BE11" i="29"/>
  <c r="BF13" i="29"/>
  <c r="BF12" i="29"/>
  <c r="BF6" i="29"/>
  <c r="G102" i="33" l="1"/>
  <c r="G105" i="33" s="1"/>
  <c r="G106" i="33" s="1"/>
  <c r="AD71" i="36"/>
  <c r="AD72" i="36"/>
  <c r="AD68" i="36"/>
  <c r="AD69" i="36"/>
  <c r="AD60" i="36"/>
  <c r="AD62" i="36"/>
  <c r="AD58" i="36"/>
  <c r="AD61" i="36"/>
  <c r="AD63" i="36"/>
  <c r="AD59" i="36"/>
  <c r="BF138" i="29"/>
  <c r="BF137" i="29"/>
  <c r="M80" i="33"/>
  <c r="M81" i="33"/>
  <c r="M63" i="33"/>
  <c r="M55" i="33"/>
  <c r="M64" i="33"/>
  <c r="M58" i="33"/>
  <c r="M65" i="33"/>
  <c r="AF126" i="36"/>
  <c r="AE128" i="36"/>
  <c r="AE13" i="36"/>
  <c r="AE73" i="36" s="1"/>
  <c r="AF11" i="36"/>
  <c r="AE197" i="36"/>
  <c r="AD199" i="36"/>
  <c r="AD166" i="36"/>
  <c r="AE164" i="36"/>
  <c r="AD7" i="36"/>
  <c r="AE5" i="36"/>
  <c r="H102" i="33"/>
  <c r="N7" i="33"/>
  <c r="BG25" i="29"/>
  <c r="BA45" i="29"/>
  <c r="BB45" i="29"/>
  <c r="BC45" i="29"/>
  <c r="M9" i="33"/>
  <c r="BC25" i="29"/>
  <c r="BB25" i="29"/>
  <c r="AZ29" i="29"/>
  <c r="BC55" i="29"/>
  <c r="BA29" i="29"/>
  <c r="AY29" i="29"/>
  <c r="AX29" i="29" s="1"/>
  <c r="AW29" i="29" s="1"/>
  <c r="BF45" i="29"/>
  <c r="F100" i="33"/>
  <c r="H100" i="33" s="1"/>
  <c r="AY35" i="29"/>
  <c r="BJ35" i="29"/>
  <c r="BD55" i="29"/>
  <c r="AZ35" i="29"/>
  <c r="AW55" i="29"/>
  <c r="BH55" i="29"/>
  <c r="BD35" i="29"/>
  <c r="E105" i="33"/>
  <c r="E106" i="33" s="1"/>
  <c r="BA35" i="29"/>
  <c r="AX55" i="29"/>
  <c r="BI55" i="29"/>
  <c r="BB35" i="29"/>
  <c r="AY55" i="29"/>
  <c r="BJ55" i="29"/>
  <c r="BC35" i="29"/>
  <c r="AZ55" i="29"/>
  <c r="AW35" i="29"/>
  <c r="BH35" i="29"/>
  <c r="BB55" i="29"/>
  <c r="BA55" i="29"/>
  <c r="AX35" i="29"/>
  <c r="BI35" i="29"/>
  <c r="D105" i="33"/>
  <c r="F97" i="33"/>
  <c r="AE71" i="36" l="1"/>
  <c r="AE72" i="36"/>
  <c r="AE68" i="36"/>
  <c r="AE69" i="36"/>
  <c r="AE58" i="36"/>
  <c r="AE60" i="36"/>
  <c r="AE62" i="36"/>
  <c r="AE61" i="36"/>
  <c r="AE59" i="36"/>
  <c r="AE63" i="36"/>
  <c r="N80" i="33"/>
  <c r="N81" i="33"/>
  <c r="N64" i="33"/>
  <c r="N63" i="33"/>
  <c r="N58" i="33"/>
  <c r="N55" i="33"/>
  <c r="N65" i="33"/>
  <c r="AE166" i="36"/>
  <c r="AF164" i="36"/>
  <c r="AF197" i="36"/>
  <c r="AE199" i="36"/>
  <c r="AG11" i="36"/>
  <c r="AF13" i="36"/>
  <c r="AF73" i="36" s="1"/>
  <c r="AF128" i="36"/>
  <c r="AG126" i="36"/>
  <c r="AE7" i="36"/>
  <c r="AF5" i="36"/>
  <c r="N9" i="33"/>
  <c r="O7" i="33"/>
  <c r="D106" i="33"/>
  <c r="F105" i="33"/>
  <c r="AF71" i="36" l="1"/>
  <c r="AF72" i="36"/>
  <c r="AF68" i="36"/>
  <c r="AF69" i="36"/>
  <c r="AF58" i="36"/>
  <c r="AF60" i="36"/>
  <c r="AF61" i="36"/>
  <c r="AF62" i="36"/>
  <c r="AF63" i="36"/>
  <c r="AF59" i="36"/>
  <c r="O81" i="33"/>
  <c r="O80" i="33"/>
  <c r="O55" i="33"/>
  <c r="O65" i="33"/>
  <c r="O63" i="33"/>
  <c r="O58" i="33"/>
  <c r="O64" i="33"/>
  <c r="AH126" i="36"/>
  <c r="AG128" i="36"/>
  <c r="AG13" i="36"/>
  <c r="AG73" i="36" s="1"/>
  <c r="AH11" i="36"/>
  <c r="AF199" i="36"/>
  <c r="AG197" i="36"/>
  <c r="AF166" i="36"/>
  <c r="AG164" i="36"/>
  <c r="AF7" i="36"/>
  <c r="AG5" i="36"/>
  <c r="P7" i="33"/>
  <c r="O9" i="33"/>
  <c r="F106" i="33"/>
  <c r="H105" i="33"/>
  <c r="H106" i="33" s="1"/>
  <c r="AG71" i="36" l="1"/>
  <c r="AG72" i="36"/>
  <c r="AG68" i="36"/>
  <c r="AG69" i="36"/>
  <c r="AG60" i="36"/>
  <c r="AG58" i="36"/>
  <c r="AG61" i="36"/>
  <c r="AG59" i="36"/>
  <c r="AG62" i="36"/>
  <c r="AG63" i="36"/>
  <c r="P80" i="33"/>
  <c r="P81" i="33"/>
  <c r="P64" i="33"/>
  <c r="P55" i="33"/>
  <c r="P63" i="33"/>
  <c r="P58" i="33"/>
  <c r="P65" i="33"/>
  <c r="AG199" i="36"/>
  <c r="AH197" i="36"/>
  <c r="AG166" i="36"/>
  <c r="AH164" i="36"/>
  <c r="AH13" i="36"/>
  <c r="AH73" i="36" s="1"/>
  <c r="AI11" i="36"/>
  <c r="AH128" i="36"/>
  <c r="AI126" i="36"/>
  <c r="AG7" i="36"/>
  <c r="AH5" i="36"/>
  <c r="P9" i="33"/>
  <c r="AH71" i="36" l="1"/>
  <c r="AH72" i="36"/>
  <c r="AH68" i="36"/>
  <c r="AH69" i="36"/>
  <c r="AH60" i="36"/>
  <c r="AH58" i="36"/>
  <c r="AH63" i="36"/>
  <c r="AH61" i="36"/>
  <c r="AH59" i="36"/>
  <c r="AH62" i="36"/>
  <c r="AI13" i="36"/>
  <c r="AI73" i="36" s="1"/>
  <c r="AJ11" i="36"/>
  <c r="AI128" i="36"/>
  <c r="AJ126" i="36"/>
  <c r="AH166" i="36"/>
  <c r="AI164" i="36"/>
  <c r="AH199" i="36"/>
  <c r="AI197" i="36"/>
  <c r="AH7" i="36"/>
  <c r="AI5" i="36"/>
  <c r="AI71" i="36" l="1"/>
  <c r="AI72" i="36"/>
  <c r="AI68" i="36"/>
  <c r="AI69" i="36"/>
  <c r="AI60" i="36"/>
  <c r="AI58" i="36"/>
  <c r="AI61" i="36"/>
  <c r="AI62" i="36"/>
  <c r="AI59" i="36"/>
  <c r="AI63" i="36"/>
  <c r="AJ128" i="36"/>
  <c r="AK126" i="36"/>
  <c r="AI166" i="36"/>
  <c r="AJ164" i="36"/>
  <c r="AI199" i="36"/>
  <c r="AJ197" i="36"/>
  <c r="AJ13" i="36"/>
  <c r="AJ73" i="36" s="1"/>
  <c r="AK11" i="36"/>
  <c r="AI7" i="36"/>
  <c r="AJ5" i="36"/>
  <c r="AJ71" i="36" l="1"/>
  <c r="AJ72" i="36"/>
  <c r="AJ68" i="36"/>
  <c r="AJ69" i="36"/>
  <c r="AJ60" i="36"/>
  <c r="AJ58" i="36"/>
  <c r="AJ61" i="36"/>
  <c r="AJ62" i="36"/>
  <c r="AJ63" i="36"/>
  <c r="AJ59" i="36"/>
  <c r="AJ199" i="36"/>
  <c r="AK197" i="36"/>
  <c r="AL11" i="36"/>
  <c r="AK13" i="36"/>
  <c r="AK73" i="36" s="1"/>
  <c r="AJ166" i="36"/>
  <c r="AK164" i="36"/>
  <c r="AK128" i="36"/>
  <c r="AL126" i="36"/>
  <c r="AJ7" i="36"/>
  <c r="AK5" i="36"/>
  <c r="AK71" i="36" l="1"/>
  <c r="AK72" i="36"/>
  <c r="AK68" i="36"/>
  <c r="AK69" i="36"/>
  <c r="AK58" i="36"/>
  <c r="AK60" i="36"/>
  <c r="AK59" i="36"/>
  <c r="AK61" i="36"/>
  <c r="AK62" i="36"/>
  <c r="AK63" i="36"/>
  <c r="AM126" i="36"/>
  <c r="AL128" i="36"/>
  <c r="AK166" i="36"/>
  <c r="AL164" i="36"/>
  <c r="AL13" i="36"/>
  <c r="AL73" i="36" s="1"/>
  <c r="AM11" i="36"/>
  <c r="AK199" i="36"/>
  <c r="AL197" i="36"/>
  <c r="AK7" i="36"/>
  <c r="AL5" i="36"/>
  <c r="AL71" i="36" l="1"/>
  <c r="AL72" i="36"/>
  <c r="AL68" i="36"/>
  <c r="AL69" i="36"/>
  <c r="AL60" i="36"/>
  <c r="AL58" i="36"/>
  <c r="AL59" i="36"/>
  <c r="AL62" i="36"/>
  <c r="AL63" i="36"/>
  <c r="AL61" i="36"/>
  <c r="AM197" i="36"/>
  <c r="AL199" i="36"/>
  <c r="AM13" i="36"/>
  <c r="AM73" i="36" s="1"/>
  <c r="AN11" i="36"/>
  <c r="AL166" i="36"/>
  <c r="AM164" i="36"/>
  <c r="AN126" i="36"/>
  <c r="AM128" i="36"/>
  <c r="AL7" i="36"/>
  <c r="AM5" i="36"/>
  <c r="AM71" i="36" l="1"/>
  <c r="AM72" i="36"/>
  <c r="AM68" i="36"/>
  <c r="AM69" i="36"/>
  <c r="AM58" i="36"/>
  <c r="AM60" i="36"/>
  <c r="AM61" i="36"/>
  <c r="AM59" i="36"/>
  <c r="AM63" i="36"/>
  <c r="AM62" i="36"/>
  <c r="AO11" i="36"/>
  <c r="AN13" i="36"/>
  <c r="AN73" i="36" s="1"/>
  <c r="AN128" i="36"/>
  <c r="AO126" i="36"/>
  <c r="AM166" i="36"/>
  <c r="AN164" i="36"/>
  <c r="AM199" i="36"/>
  <c r="AN197" i="36"/>
  <c r="AN5" i="36"/>
  <c r="AM7" i="36"/>
  <c r="AN71" i="36" l="1"/>
  <c r="AN72" i="36"/>
  <c r="AN68" i="36"/>
  <c r="AN69" i="36"/>
  <c r="AN58" i="36"/>
  <c r="AN60" i="36"/>
  <c r="AN63" i="36"/>
  <c r="AN62" i="36"/>
  <c r="AN61" i="36"/>
  <c r="AN59" i="36"/>
  <c r="AP126" i="36"/>
  <c r="AO128" i="36"/>
  <c r="AN199" i="36"/>
  <c r="AO197" i="36"/>
  <c r="AN166" i="36"/>
  <c r="AO164" i="36"/>
  <c r="AP11" i="36"/>
  <c r="AO13" i="36"/>
  <c r="AO73" i="36" s="1"/>
  <c r="AN7" i="36"/>
  <c r="AO5" i="36"/>
  <c r="AO71" i="36" l="1"/>
  <c r="AO72" i="36"/>
  <c r="AO68" i="36"/>
  <c r="AO69" i="36"/>
  <c r="AO60" i="36"/>
  <c r="AO58" i="36"/>
  <c r="AO61" i="36"/>
  <c r="AO62" i="36"/>
  <c r="AO63" i="36"/>
  <c r="AO59" i="36"/>
  <c r="AP13" i="36"/>
  <c r="AP73" i="36" s="1"/>
  <c r="AQ11" i="36"/>
  <c r="AO166" i="36"/>
  <c r="AP164" i="36"/>
  <c r="AO199" i="36"/>
  <c r="AP197" i="36"/>
  <c r="AP128" i="36"/>
  <c r="AQ126" i="36"/>
  <c r="AP5" i="36"/>
  <c r="AO7" i="36"/>
  <c r="AP71" i="36" l="1"/>
  <c r="AP72" i="36"/>
  <c r="AP68" i="36"/>
  <c r="AP69" i="36"/>
  <c r="AP60" i="36"/>
  <c r="AP58" i="36"/>
  <c r="AP59" i="36"/>
  <c r="AP62" i="36"/>
  <c r="AP61" i="36"/>
  <c r="AP63" i="36"/>
  <c r="AQ128" i="36"/>
  <c r="AR126" i="36"/>
  <c r="AP166" i="36"/>
  <c r="AQ164" i="36"/>
  <c r="AQ13" i="36"/>
  <c r="AQ73" i="36" s="1"/>
  <c r="AR11" i="36"/>
  <c r="AP199" i="36"/>
  <c r="AQ197" i="36"/>
  <c r="AP7" i="36"/>
  <c r="AQ5" i="36"/>
  <c r="AQ71" i="36" l="1"/>
  <c r="AQ72" i="36"/>
  <c r="AQ68" i="36"/>
  <c r="AQ69" i="36"/>
  <c r="AQ63" i="36"/>
  <c r="AQ60" i="36"/>
  <c r="AQ58" i="36"/>
  <c r="AQ61" i="36"/>
  <c r="AQ59" i="36"/>
  <c r="AQ62" i="36"/>
  <c r="AQ166" i="36"/>
  <c r="AR164" i="36"/>
  <c r="AR13" i="36"/>
  <c r="AR73" i="36" s="1"/>
  <c r="AS11" i="36"/>
  <c r="AR128" i="36"/>
  <c r="AS126" i="36"/>
  <c r="AQ199" i="36"/>
  <c r="AR197" i="36"/>
  <c r="AQ7" i="36"/>
  <c r="AR5" i="36"/>
  <c r="AR71" i="36" l="1"/>
  <c r="AR72" i="36"/>
  <c r="AR68" i="36"/>
  <c r="AR69" i="36"/>
  <c r="AR63" i="36"/>
  <c r="AR60" i="36"/>
  <c r="AR58" i="36"/>
  <c r="AR59" i="36"/>
  <c r="AR61" i="36"/>
  <c r="AR62" i="36"/>
  <c r="AR199" i="36"/>
  <c r="AS197" i="36"/>
  <c r="AS13" i="36"/>
  <c r="AS73" i="36" s="1"/>
  <c r="AT11" i="36"/>
  <c r="AS128" i="36"/>
  <c r="AT126" i="36"/>
  <c r="AR166" i="36"/>
  <c r="AS164" i="36"/>
  <c r="AR7" i="36"/>
  <c r="AS5" i="36"/>
  <c r="AS71" i="36" l="1"/>
  <c r="AS72" i="36"/>
  <c r="AS68" i="36"/>
  <c r="AS69" i="36"/>
  <c r="AS58" i="36"/>
  <c r="AS60" i="36"/>
  <c r="AS63" i="36"/>
  <c r="AS61" i="36"/>
  <c r="AS62" i="36"/>
  <c r="AS59" i="36"/>
  <c r="AT128" i="36"/>
  <c r="AU126" i="36"/>
  <c r="AU128" i="36" s="1"/>
  <c r="AS166" i="36"/>
  <c r="AT164" i="36"/>
  <c r="AT13" i="36"/>
  <c r="AT73" i="36" s="1"/>
  <c r="AU11" i="36"/>
  <c r="AS199" i="36"/>
  <c r="AT197" i="36"/>
  <c r="AS7" i="36"/>
  <c r="AT5" i="36"/>
  <c r="AT71" i="36" l="1"/>
  <c r="AT72" i="36"/>
  <c r="AW72" i="36"/>
  <c r="AY72" i="36"/>
  <c r="AX72" i="36"/>
  <c r="BA72" i="36"/>
  <c r="BC72" i="36"/>
  <c r="BB72" i="36"/>
  <c r="AZ72" i="36"/>
  <c r="AY75" i="36"/>
  <c r="AZ75" i="36"/>
  <c r="BC75" i="36"/>
  <c r="AW75" i="36"/>
  <c r="AX75" i="36"/>
  <c r="BA75" i="36"/>
  <c r="BD75" i="36"/>
  <c r="BB75" i="36"/>
  <c r="AZ74" i="36"/>
  <c r="AY74" i="36"/>
  <c r="AW74" i="36"/>
  <c r="BC74" i="36"/>
  <c r="BA74" i="36"/>
  <c r="AX74" i="36"/>
  <c r="BD74" i="36"/>
  <c r="BB74" i="36"/>
  <c r="AW73" i="36"/>
  <c r="AY73" i="36"/>
  <c r="AX71" i="36"/>
  <c r="AX73" i="36"/>
  <c r="AY71" i="36"/>
  <c r="BB71" i="36"/>
  <c r="AW71" i="36"/>
  <c r="AZ71" i="36"/>
  <c r="AZ73" i="36"/>
  <c r="BA73" i="36"/>
  <c r="BA71" i="36"/>
  <c r="BB73" i="36"/>
  <c r="BC71" i="36"/>
  <c r="BC73" i="36"/>
  <c r="AW70" i="36"/>
  <c r="AY70" i="36"/>
  <c r="AX70" i="36"/>
  <c r="AZ70" i="36"/>
  <c r="BB70" i="36"/>
  <c r="BC70" i="36"/>
  <c r="BA70" i="36"/>
  <c r="BD70" i="36"/>
  <c r="AT68" i="36"/>
  <c r="AT69" i="36"/>
  <c r="AU13" i="36"/>
  <c r="AU73" i="36" s="1"/>
  <c r="BD73" i="36" s="1"/>
  <c r="AW69" i="36"/>
  <c r="AY59" i="36"/>
  <c r="AY69" i="36"/>
  <c r="AW60" i="36"/>
  <c r="AY58" i="36"/>
  <c r="AW68" i="36"/>
  <c r="AX68" i="36"/>
  <c r="AY60" i="36"/>
  <c r="AX63" i="36"/>
  <c r="AW62" i="36"/>
  <c r="AY61" i="36"/>
  <c r="AW61" i="36"/>
  <c r="AZ63" i="36"/>
  <c r="AW63" i="36"/>
  <c r="AX60" i="36"/>
  <c r="AZ62" i="36"/>
  <c r="AY62" i="36"/>
  <c r="AZ59" i="36"/>
  <c r="AY68" i="36"/>
  <c r="AX59" i="36"/>
  <c r="AX62" i="36"/>
  <c r="AZ68" i="36"/>
  <c r="AW58" i="36"/>
  <c r="AZ60" i="36"/>
  <c r="AX69" i="36"/>
  <c r="AX58" i="36"/>
  <c r="AZ58" i="36"/>
  <c r="AY63" i="36"/>
  <c r="AZ69" i="36"/>
  <c r="AX61" i="36"/>
  <c r="BA61" i="36"/>
  <c r="AZ61" i="36"/>
  <c r="BA68" i="36"/>
  <c r="BA69" i="36"/>
  <c r="BA60" i="36"/>
  <c r="BA59" i="36"/>
  <c r="BA63" i="36"/>
  <c r="AW59" i="36"/>
  <c r="BA62" i="36"/>
  <c r="BB62" i="36"/>
  <c r="BB59" i="36"/>
  <c r="BB69" i="36"/>
  <c r="BB61" i="36"/>
  <c r="BA58" i="36"/>
  <c r="BB58" i="36"/>
  <c r="BC61" i="36"/>
  <c r="BC59" i="36"/>
  <c r="BC60" i="36"/>
  <c r="BB63" i="36"/>
  <c r="BC62" i="36"/>
  <c r="BC69" i="36"/>
  <c r="BC63" i="36"/>
  <c r="BC68" i="36"/>
  <c r="BB68" i="36"/>
  <c r="BB60" i="36"/>
  <c r="BC58" i="36"/>
  <c r="AT63" i="36"/>
  <c r="AT60" i="36"/>
  <c r="AT58" i="36"/>
  <c r="AT62" i="36"/>
  <c r="AT61" i="36"/>
  <c r="AT59" i="36"/>
  <c r="AU58" i="36"/>
  <c r="AU63" i="36"/>
  <c r="AU60" i="36"/>
  <c r="AU62" i="36"/>
  <c r="AU61" i="36"/>
  <c r="AU59" i="36"/>
  <c r="AT199" i="36"/>
  <c r="AU197" i="36"/>
  <c r="AU199" i="36" s="1"/>
  <c r="AT166" i="36"/>
  <c r="AU164" i="36"/>
  <c r="AU166" i="36" s="1"/>
  <c r="AT7" i="36"/>
  <c r="AU5" i="36"/>
  <c r="AU7" i="36" s="1"/>
  <c r="BF72" i="36" l="1"/>
  <c r="AU71" i="36"/>
  <c r="BD71" i="36" s="1"/>
  <c r="BG71" i="36" s="1"/>
  <c r="AU72" i="36"/>
  <c r="BD72" i="36" s="1"/>
  <c r="BG72" i="36" s="1"/>
  <c r="BF70" i="36"/>
  <c r="BG75" i="36"/>
  <c r="BF75" i="36"/>
  <c r="BG74" i="36"/>
  <c r="BF74" i="36"/>
  <c r="BF71" i="36"/>
  <c r="BG73" i="36"/>
  <c r="BF73" i="36"/>
  <c r="BD58" i="36"/>
  <c r="BG58" i="36" s="1"/>
  <c r="BG70" i="36"/>
  <c r="BF69" i="36"/>
  <c r="BD59" i="36"/>
  <c r="BG59" i="36" s="1"/>
  <c r="BF68" i="36"/>
  <c r="BD62" i="36"/>
  <c r="BG62" i="36" s="1"/>
  <c r="BF59" i="36"/>
  <c r="BD60" i="36"/>
  <c r="BG60" i="36" s="1"/>
  <c r="BD63" i="36"/>
  <c r="BG63" i="36" s="1"/>
  <c r="BD61" i="36"/>
  <c r="BG61" i="36" s="1"/>
  <c r="BF63" i="36"/>
  <c r="BF60" i="36"/>
  <c r="BF58" i="36"/>
  <c r="BF62" i="36"/>
  <c r="AU68" i="36"/>
  <c r="BD68" i="36" s="1"/>
  <c r="BG68" i="36" s="1"/>
  <c r="AU69" i="36"/>
  <c r="BD69" i="36" s="1"/>
  <c r="BG69" i="36" s="1"/>
  <c r="BF61" i="36"/>
  <c r="I5" i="31"/>
  <c r="H5" i="31"/>
  <c r="E10" i="31" a="1"/>
  <c r="E10" i="31" l="1"/>
  <c r="D10" i="31" a="1"/>
  <c r="D10" i="31" l="1"/>
  <c r="E9" i="31" a="1"/>
  <c r="J10" i="31" l="1"/>
  <c r="K10" i="31"/>
  <c r="E9" i="31"/>
  <c r="D9" i="31" a="1"/>
  <c r="D9" i="31" l="1"/>
  <c r="E8" i="31" a="1"/>
  <c r="J9" i="31" l="1"/>
  <c r="K9" i="31"/>
  <c r="E8" i="31"/>
  <c r="D8" i="31" a="1"/>
  <c r="D8" i="31" l="1"/>
  <c r="E7" i="31" a="1"/>
  <c r="J8" i="31" l="1"/>
  <c r="K8" i="31"/>
  <c r="E7" i="31"/>
  <c r="D7" i="31" a="1"/>
  <c r="D7" i="31" l="1"/>
  <c r="E6" i="31" a="1"/>
  <c r="J7" i="31" l="1"/>
  <c r="K7" i="31"/>
  <c r="E6" i="31"/>
  <c r="D6" i="31" a="1"/>
  <c r="D6" i="31" l="1"/>
  <c r="E5" i="31" a="1"/>
  <c r="J6" i="31" l="1"/>
  <c r="K6" i="31"/>
  <c r="E5" i="31"/>
  <c r="D5" i="31" a="1"/>
  <c r="D5" i="31" l="1"/>
  <c r="E4" i="31" a="1"/>
  <c r="J5" i="31" l="1"/>
  <c r="K5" i="31"/>
  <c r="E4" i="31"/>
  <c r="D4" i="31" a="1"/>
  <c r="D4" i="31" l="1"/>
  <c r="BJ50" i="29"/>
  <c r="BI50" i="29"/>
  <c r="BH50" i="29"/>
  <c r="BD50" i="29"/>
  <c r="BC50" i="29"/>
  <c r="BB50" i="29"/>
  <c r="BJ30" i="29"/>
  <c r="BI30" i="29"/>
  <c r="BH30" i="29"/>
  <c r="BD30" i="29"/>
  <c r="BC30" i="29"/>
  <c r="BB30" i="29"/>
  <c r="BA30" i="29"/>
  <c r="AZ30" i="29"/>
  <c r="AY30" i="29"/>
  <c r="AX30" i="29"/>
  <c r="AW30" i="29"/>
  <c r="K4" i="31" l="1"/>
  <c r="K11" i="31" s="1"/>
  <c r="J4" i="31"/>
  <c r="J11" i="31" s="1"/>
  <c r="L25" i="30" l="1"/>
  <c r="M25" i="30" s="1"/>
  <c r="N11" i="30"/>
  <c r="N10" i="30"/>
  <c r="N9" i="30"/>
  <c r="N8" i="30"/>
  <c r="N7" i="30"/>
  <c r="M22" i="30" l="1"/>
  <c r="M23" i="30"/>
  <c r="M24" i="30"/>
  <c r="N12" i="30"/>
  <c r="L12" i="30"/>
  <c r="E12" i="30"/>
  <c r="F10" i="30" s="1"/>
  <c r="D12" i="30"/>
  <c r="C12" i="30"/>
  <c r="P7" i="30" l="1"/>
  <c r="P14" i="30"/>
  <c r="P12" i="30"/>
  <c r="Q12" i="30"/>
  <c r="P11" i="30"/>
  <c r="P10" i="30"/>
  <c r="P8" i="30"/>
  <c r="L30" i="30"/>
  <c r="L29" i="30"/>
  <c r="P9" i="30"/>
  <c r="L38" i="30"/>
  <c r="L39" i="30"/>
  <c r="F11" i="30"/>
  <c r="F7" i="30"/>
  <c r="F8" i="30"/>
  <c r="F12" i="30"/>
  <c r="F9" i="30"/>
  <c r="Q9" i="30" l="1"/>
  <c r="M31" i="30" s="1"/>
  <c r="M49" i="30" s="1"/>
  <c r="Q8" i="30"/>
  <c r="M30" i="30" s="1"/>
  <c r="M48" i="30" s="1"/>
  <c r="R12" i="30"/>
  <c r="Q10" i="30"/>
  <c r="Q11" i="30"/>
  <c r="Q7" i="30"/>
  <c r="L47" i="30"/>
  <c r="L48" i="30"/>
  <c r="M39" i="30"/>
  <c r="AV11" i="29"/>
  <c r="AW119" i="29"/>
  <c r="AW13" i="29"/>
  <c r="L13" i="29"/>
  <c r="BG12" i="29"/>
  <c r="BH12" i="29" s="1"/>
  <c r="BI12" i="29" s="1"/>
  <c r="BJ12" i="29" s="1"/>
  <c r="AW12" i="29"/>
  <c r="AX12" i="29" s="1"/>
  <c r="AY12" i="29" s="1"/>
  <c r="AZ12" i="29" s="1"/>
  <c r="BA12" i="29" s="1"/>
  <c r="BB12" i="29" s="1"/>
  <c r="BC12" i="29" s="1"/>
  <c r="BD12" i="29" s="1"/>
  <c r="M12" i="29"/>
  <c r="N12" i="29" s="1"/>
  <c r="O12" i="29" s="1"/>
  <c r="P12" i="29" s="1"/>
  <c r="Q12" i="29" s="1"/>
  <c r="R12" i="29" s="1"/>
  <c r="S12" i="29" s="1"/>
  <c r="T12" i="29" s="1"/>
  <c r="U12" i="29" s="1"/>
  <c r="V12" i="29" s="1"/>
  <c r="W12" i="29" s="1"/>
  <c r="X12" i="29" s="1"/>
  <c r="Y12" i="29" s="1"/>
  <c r="Z12" i="29" s="1"/>
  <c r="AA12" i="29" s="1"/>
  <c r="AB12" i="29" s="1"/>
  <c r="AC12" i="29" s="1"/>
  <c r="AD12" i="29" s="1"/>
  <c r="AE12" i="29" s="1"/>
  <c r="AF12" i="29" s="1"/>
  <c r="AG12" i="29" s="1"/>
  <c r="AH12" i="29" s="1"/>
  <c r="AI12" i="29" s="1"/>
  <c r="AJ12" i="29" s="1"/>
  <c r="AK12" i="29" s="1"/>
  <c r="AL12" i="29" s="1"/>
  <c r="AM12" i="29" s="1"/>
  <c r="AN12" i="29" s="1"/>
  <c r="AO12" i="29" s="1"/>
  <c r="AP12" i="29" s="1"/>
  <c r="AQ12" i="29" s="1"/>
  <c r="AR12" i="29" s="1"/>
  <c r="AS12" i="29" s="1"/>
  <c r="AT12" i="29" s="1"/>
  <c r="AU12" i="29" s="1"/>
  <c r="AX11" i="29"/>
  <c r="M11" i="29"/>
  <c r="N11" i="29" s="1"/>
  <c r="AW7" i="29"/>
  <c r="L7" i="29"/>
  <c r="BG6" i="29"/>
  <c r="BH6" i="29" s="1"/>
  <c r="AW6" i="29"/>
  <c r="M6" i="29"/>
  <c r="N6" i="29" s="1"/>
  <c r="O6" i="29" s="1"/>
  <c r="P6" i="29" s="1"/>
  <c r="Q6" i="29" s="1"/>
  <c r="R6" i="29" s="1"/>
  <c r="S6" i="29" s="1"/>
  <c r="T6" i="29" s="1"/>
  <c r="U6" i="29" s="1"/>
  <c r="V6" i="29" s="1"/>
  <c r="W6" i="29" s="1"/>
  <c r="X6" i="29" s="1"/>
  <c r="Y6" i="29" s="1"/>
  <c r="Z6" i="29" s="1"/>
  <c r="AA6" i="29" s="1"/>
  <c r="AB6" i="29" s="1"/>
  <c r="AC6" i="29" s="1"/>
  <c r="AD6" i="29" s="1"/>
  <c r="AE6" i="29" s="1"/>
  <c r="AF6" i="29" s="1"/>
  <c r="AG6" i="29" s="1"/>
  <c r="AH6" i="29" s="1"/>
  <c r="AI6" i="29" s="1"/>
  <c r="AJ6" i="29" s="1"/>
  <c r="AK6" i="29" s="1"/>
  <c r="AL6" i="29" s="1"/>
  <c r="AM6" i="29" s="1"/>
  <c r="AN6" i="29" s="1"/>
  <c r="AO6" i="29" s="1"/>
  <c r="AP6" i="29" s="1"/>
  <c r="AQ6" i="29" s="1"/>
  <c r="AR6" i="29" s="1"/>
  <c r="AS6" i="29" s="1"/>
  <c r="AT6" i="29" s="1"/>
  <c r="AU6" i="29" s="1"/>
  <c r="BG5" i="29"/>
  <c r="BG7" i="29" s="1"/>
  <c r="AX5" i="29"/>
  <c r="AX7" i="29" s="1"/>
  <c r="AV5" i="29"/>
  <c r="M5" i="29"/>
  <c r="N5" i="29" s="1"/>
  <c r="O5" i="29" s="1"/>
  <c r="AW22" i="29" l="1"/>
  <c r="AW137" i="29"/>
  <c r="AW143" i="29" s="1"/>
  <c r="AW155" i="29" s="1"/>
  <c r="AW138" i="29"/>
  <c r="R10" i="30"/>
  <c r="S12" i="30"/>
  <c r="R7" i="30"/>
  <c r="R8" i="30"/>
  <c r="R9" i="30"/>
  <c r="N31" i="30" s="1"/>
  <c r="R11" i="30"/>
  <c r="L251" i="36"/>
  <c r="L250" i="36"/>
  <c r="L249" i="36"/>
  <c r="L99" i="36"/>
  <c r="L100" i="36"/>
  <c r="L94" i="36"/>
  <c r="L85" i="36"/>
  <c r="L96" i="36"/>
  <c r="L92" i="36"/>
  <c r="L86" i="36"/>
  <c r="L95" i="36"/>
  <c r="L89" i="36"/>
  <c r="L87" i="36"/>
  <c r="L78" i="36"/>
  <c r="L79" i="36"/>
  <c r="L55" i="36"/>
  <c r="L80" i="36"/>
  <c r="L88" i="36"/>
  <c r="L81" i="36"/>
  <c r="L93" i="36"/>
  <c r="L82" i="36"/>
  <c r="L83" i="36"/>
  <c r="L48" i="36"/>
  <c r="L42" i="36"/>
  <c r="L43" i="36"/>
  <c r="L49" i="36"/>
  <c r="L50" i="36"/>
  <c r="L84" i="36"/>
  <c r="L67" i="36"/>
  <c r="L76" i="36" s="1"/>
  <c r="L54" i="36"/>
  <c r="L53" i="36"/>
  <c r="L98" i="36"/>
  <c r="L46" i="36"/>
  <c r="L38" i="36"/>
  <c r="L40" i="36"/>
  <c r="L28" i="36"/>
  <c r="L22" i="36"/>
  <c r="L97" i="36"/>
  <c r="L29" i="36"/>
  <c r="L23" i="36"/>
  <c r="L27" i="36"/>
  <c r="L47" i="36"/>
  <c r="L24" i="36"/>
  <c r="L41" i="36"/>
  <c r="L25" i="36"/>
  <c r="L26" i="36"/>
  <c r="AX6" i="29"/>
  <c r="BI6" i="29"/>
  <c r="AY11" i="29"/>
  <c r="BJ119" i="29"/>
  <c r="BH119" i="29"/>
  <c r="BI119" i="29"/>
  <c r="BA119" i="29"/>
  <c r="BB119" i="29"/>
  <c r="BC119" i="29"/>
  <c r="BD119" i="29"/>
  <c r="BH5" i="29"/>
  <c r="AW42" i="29"/>
  <c r="AW23" i="29"/>
  <c r="AW44" i="29"/>
  <c r="AW43" i="29"/>
  <c r="AW24" i="29"/>
  <c r="AX119" i="29"/>
  <c r="AY119" i="29"/>
  <c r="AZ119" i="29"/>
  <c r="AY5" i="29"/>
  <c r="AY7" i="29" s="1"/>
  <c r="M7" i="29"/>
  <c r="AX13" i="29"/>
  <c r="BF7" i="29"/>
  <c r="P5" i="29"/>
  <c r="O7" i="29"/>
  <c r="N7" i="29"/>
  <c r="M13" i="29"/>
  <c r="N13" i="29"/>
  <c r="O11" i="29"/>
  <c r="BG11" i="29"/>
  <c r="L90" i="36" l="1"/>
  <c r="AX138" i="29"/>
  <c r="AX137" i="29"/>
  <c r="AX143" i="29" s="1"/>
  <c r="AX155" i="29" s="1"/>
  <c r="N49" i="30"/>
  <c r="BF98" i="29" s="1"/>
  <c r="BF80" i="29"/>
  <c r="T12" i="30"/>
  <c r="S10" i="30"/>
  <c r="S8" i="30"/>
  <c r="S9" i="30"/>
  <c r="O31" i="30" s="1"/>
  <c r="S11" i="30"/>
  <c r="S7" i="30"/>
  <c r="L44" i="36"/>
  <c r="L252" i="36"/>
  <c r="L56" i="36"/>
  <c r="L51" i="36"/>
  <c r="L31" i="36"/>
  <c r="L30" i="36"/>
  <c r="N250" i="36"/>
  <c r="N249" i="36"/>
  <c r="N251" i="36"/>
  <c r="N98" i="36"/>
  <c r="N85" i="36"/>
  <c r="N87" i="36"/>
  <c r="N88" i="36"/>
  <c r="N100" i="36"/>
  <c r="N97" i="36"/>
  <c r="N93" i="36"/>
  <c r="N94" i="36"/>
  <c r="N80" i="36"/>
  <c r="N99" i="36"/>
  <c r="N81" i="36"/>
  <c r="N50" i="36"/>
  <c r="N82" i="36"/>
  <c r="N83" i="36"/>
  <c r="N84" i="36"/>
  <c r="N92" i="36"/>
  <c r="N86" i="36"/>
  <c r="N67" i="36"/>
  <c r="N76" i="36" s="1"/>
  <c r="N53" i="36"/>
  <c r="N95" i="36"/>
  <c r="N49" i="36"/>
  <c r="N79" i="36"/>
  <c r="N54" i="36"/>
  <c r="N96" i="36"/>
  <c r="N55" i="36"/>
  <c r="N46" i="36"/>
  <c r="N47" i="36"/>
  <c r="N78" i="36"/>
  <c r="N48" i="36"/>
  <c r="N22" i="36"/>
  <c r="N29" i="36"/>
  <c r="N23" i="36"/>
  <c r="N40" i="36"/>
  <c r="N24" i="36"/>
  <c r="N28" i="36"/>
  <c r="N25" i="36"/>
  <c r="N26" i="36"/>
  <c r="N42" i="36"/>
  <c r="N41" i="36"/>
  <c r="N27" i="36"/>
  <c r="N89" i="36"/>
  <c r="N43" i="36"/>
  <c r="N38" i="36"/>
  <c r="M251" i="36"/>
  <c r="M250" i="36"/>
  <c r="M249" i="36"/>
  <c r="M100" i="36"/>
  <c r="M95" i="36"/>
  <c r="M99" i="36"/>
  <c r="M96" i="36"/>
  <c r="M92" i="36"/>
  <c r="M86" i="36"/>
  <c r="M87" i="36"/>
  <c r="M89" i="36"/>
  <c r="M98" i="36"/>
  <c r="M97" i="36"/>
  <c r="M93" i="36"/>
  <c r="M85" i="36"/>
  <c r="M79" i="36"/>
  <c r="M80" i="36"/>
  <c r="M94" i="36"/>
  <c r="M88" i="36"/>
  <c r="M81" i="36"/>
  <c r="M82" i="36"/>
  <c r="M83" i="36"/>
  <c r="M84" i="36"/>
  <c r="M43" i="36"/>
  <c r="M49" i="36"/>
  <c r="M50" i="36"/>
  <c r="M67" i="36"/>
  <c r="M76" i="36" s="1"/>
  <c r="M54" i="36"/>
  <c r="M53" i="36"/>
  <c r="M55" i="36"/>
  <c r="M46" i="36"/>
  <c r="M47" i="36"/>
  <c r="M40" i="36"/>
  <c r="M28" i="36"/>
  <c r="M22" i="36"/>
  <c r="M29" i="36"/>
  <c r="M23" i="36"/>
  <c r="M24" i="36"/>
  <c r="M25" i="36"/>
  <c r="M48" i="36"/>
  <c r="M26" i="36"/>
  <c r="M78" i="36"/>
  <c r="M42" i="36"/>
  <c r="M41" i="36"/>
  <c r="M27" i="36"/>
  <c r="M38" i="36"/>
  <c r="L101" i="36"/>
  <c r="L65" i="36"/>
  <c r="BJ6" i="29"/>
  <c r="AY6" i="29"/>
  <c r="AZ11" i="29"/>
  <c r="AY13" i="29"/>
  <c r="BH11" i="29"/>
  <c r="BH7" i="29"/>
  <c r="BI5" i="29"/>
  <c r="AX22" i="29"/>
  <c r="AX24" i="29"/>
  <c r="AX43" i="29"/>
  <c r="AX44" i="29"/>
  <c r="AX23" i="29"/>
  <c r="AX42" i="29"/>
  <c r="AW26" i="29"/>
  <c r="AW31" i="29" s="1"/>
  <c r="AZ5" i="29"/>
  <c r="AZ7" i="29" s="1"/>
  <c r="BG13" i="29"/>
  <c r="O13" i="29"/>
  <c r="P11" i="29"/>
  <c r="Q5" i="29"/>
  <c r="P7" i="29"/>
  <c r="N90" i="36" l="1"/>
  <c r="M90" i="36"/>
  <c r="BG137" i="29"/>
  <c r="BG138" i="29"/>
  <c r="AY23" i="29"/>
  <c r="AY138" i="29"/>
  <c r="AY137" i="29"/>
  <c r="AY143" i="29" s="1"/>
  <c r="AY155" i="29" s="1"/>
  <c r="O49" i="30"/>
  <c r="BG98" i="29" s="1"/>
  <c r="BG80" i="29"/>
  <c r="U12" i="30"/>
  <c r="T11" i="30"/>
  <c r="T7" i="30"/>
  <c r="T9" i="30"/>
  <c r="P31" i="30" s="1"/>
  <c r="T8" i="30"/>
  <c r="T10" i="30"/>
  <c r="L35" i="36"/>
  <c r="L103" i="36" s="1"/>
  <c r="N56" i="36"/>
  <c r="M101" i="36"/>
  <c r="N252" i="36"/>
  <c r="M44" i="36"/>
  <c r="N44" i="36"/>
  <c r="N51" i="36"/>
  <c r="O249" i="36"/>
  <c r="O250" i="36"/>
  <c r="O251" i="36"/>
  <c r="O97" i="36"/>
  <c r="O98" i="36"/>
  <c r="O99" i="36"/>
  <c r="O96" i="36"/>
  <c r="O92" i="36"/>
  <c r="O86" i="36"/>
  <c r="O88" i="36"/>
  <c r="O89" i="36"/>
  <c r="O94" i="36"/>
  <c r="O95" i="36"/>
  <c r="O81" i="36"/>
  <c r="O82" i="36"/>
  <c r="O83" i="36"/>
  <c r="O100" i="36"/>
  <c r="O93" i="36"/>
  <c r="O84" i="36"/>
  <c r="O67" i="36"/>
  <c r="O76" i="36" s="1"/>
  <c r="O53" i="36"/>
  <c r="O78" i="36"/>
  <c r="O54" i="36"/>
  <c r="O85" i="36"/>
  <c r="O79" i="36"/>
  <c r="O50" i="36"/>
  <c r="O55" i="36"/>
  <c r="O46" i="36"/>
  <c r="O47" i="36"/>
  <c r="O41" i="36"/>
  <c r="O80" i="36"/>
  <c r="O48" i="36"/>
  <c r="O42" i="36"/>
  <c r="O29" i="36"/>
  <c r="O23" i="36"/>
  <c r="O87" i="36"/>
  <c r="O24" i="36"/>
  <c r="O40" i="36"/>
  <c r="O25" i="36"/>
  <c r="O49" i="36"/>
  <c r="O26" i="36"/>
  <c r="O28" i="36"/>
  <c r="O27" i="36"/>
  <c r="O43" i="36"/>
  <c r="O38" i="36"/>
  <c r="O22" i="36"/>
  <c r="M51" i="36"/>
  <c r="M31" i="36"/>
  <c r="M30" i="36"/>
  <c r="M252" i="36"/>
  <c r="M56" i="36"/>
  <c r="M65" i="36"/>
  <c r="N65" i="36"/>
  <c r="N31" i="36"/>
  <c r="N30" i="36"/>
  <c r="N101" i="36"/>
  <c r="AZ6" i="29"/>
  <c r="BI11" i="29"/>
  <c r="AZ13" i="29"/>
  <c r="BA11" i="29"/>
  <c r="AY42" i="29"/>
  <c r="AY24" i="29"/>
  <c r="AW36" i="29"/>
  <c r="AY44" i="29"/>
  <c r="AY43" i="29"/>
  <c r="AY22" i="29"/>
  <c r="BH13" i="29"/>
  <c r="BI7" i="29"/>
  <c r="BJ5" i="29"/>
  <c r="BJ7" i="29" s="1"/>
  <c r="AX46" i="29"/>
  <c r="AX26" i="29"/>
  <c r="AX31" i="29" s="1"/>
  <c r="AX36" i="29" s="1"/>
  <c r="BA5" i="29"/>
  <c r="BA7" i="29" s="1"/>
  <c r="Q11" i="29"/>
  <c r="P13" i="29"/>
  <c r="Q7" i="29"/>
  <c r="R5" i="29"/>
  <c r="O90" i="36" l="1"/>
  <c r="BH138" i="29"/>
  <c r="BI138" i="29" s="1"/>
  <c r="BJ138" i="29" s="1"/>
  <c r="AZ138" i="29"/>
  <c r="AZ137" i="29"/>
  <c r="P49" i="30"/>
  <c r="BH98" i="29" s="1"/>
  <c r="BH80" i="29"/>
  <c r="V12" i="30"/>
  <c r="U11" i="30"/>
  <c r="U7" i="30"/>
  <c r="U9" i="30"/>
  <c r="Q31" i="30" s="1"/>
  <c r="U8" i="30"/>
  <c r="U10" i="30"/>
  <c r="O101" i="36"/>
  <c r="N35" i="36"/>
  <c r="N103" i="36" s="1"/>
  <c r="AW204" i="36"/>
  <c r="O65" i="36"/>
  <c r="O252" i="36"/>
  <c r="O51" i="36"/>
  <c r="O56" i="36"/>
  <c r="AX204" i="36"/>
  <c r="AX205" i="36" s="1"/>
  <c r="P251" i="36"/>
  <c r="P250" i="36"/>
  <c r="P98" i="36"/>
  <c r="P99" i="36"/>
  <c r="P249" i="36"/>
  <c r="P100" i="36"/>
  <c r="P87" i="36"/>
  <c r="P89" i="36"/>
  <c r="P93" i="36"/>
  <c r="P95" i="36"/>
  <c r="P82" i="36"/>
  <c r="P94" i="36"/>
  <c r="P88" i="36"/>
  <c r="P83" i="36"/>
  <c r="P84" i="36"/>
  <c r="P67" i="36"/>
  <c r="P76" i="36" s="1"/>
  <c r="P53" i="36"/>
  <c r="P92" i="36"/>
  <c r="P86" i="36"/>
  <c r="P78" i="36"/>
  <c r="P54" i="36"/>
  <c r="P97" i="36"/>
  <c r="P96" i="36"/>
  <c r="P79" i="36"/>
  <c r="P55" i="36"/>
  <c r="P81" i="36"/>
  <c r="P50" i="36"/>
  <c r="P46" i="36"/>
  <c r="P47" i="36"/>
  <c r="P80" i="36"/>
  <c r="P48" i="36"/>
  <c r="P42" i="36"/>
  <c r="P43" i="36"/>
  <c r="P49" i="36"/>
  <c r="P24" i="36"/>
  <c r="P29" i="36"/>
  <c r="P25" i="36"/>
  <c r="P26" i="36"/>
  <c r="P22" i="36"/>
  <c r="P27" i="36"/>
  <c r="P85" i="36"/>
  <c r="P41" i="36"/>
  <c r="P38" i="36"/>
  <c r="P40" i="36"/>
  <c r="P28" i="36"/>
  <c r="P23" i="36"/>
  <c r="M35" i="36"/>
  <c r="M103" i="36" s="1"/>
  <c r="O31" i="36"/>
  <c r="O30" i="36"/>
  <c r="O44" i="36"/>
  <c r="BI13" i="29"/>
  <c r="BA13" i="29"/>
  <c r="BA6" i="29"/>
  <c r="AZ42" i="29"/>
  <c r="BF42" i="29" s="1"/>
  <c r="AZ44" i="29"/>
  <c r="BF44" i="29" s="1"/>
  <c r="AZ23" i="29"/>
  <c r="BF23" i="29" s="1"/>
  <c r="BB11" i="29"/>
  <c r="AZ43" i="29"/>
  <c r="BF43" i="29" s="1"/>
  <c r="AZ24" i="29"/>
  <c r="BF24" i="29" s="1"/>
  <c r="AZ22" i="29"/>
  <c r="BF22" i="29" s="1"/>
  <c r="BJ11" i="29"/>
  <c r="AY26" i="29"/>
  <c r="AY31" i="29" s="1"/>
  <c r="AY36" i="29" s="1"/>
  <c r="AY46" i="29"/>
  <c r="BH43" i="29"/>
  <c r="BH22" i="29"/>
  <c r="BH42" i="29"/>
  <c r="BH24" i="29"/>
  <c r="BH44" i="29"/>
  <c r="BH23" i="29"/>
  <c r="AX61" i="29"/>
  <c r="AX132" i="29" s="1"/>
  <c r="AX134" i="29" s="1"/>
  <c r="AX139" i="29" s="1"/>
  <c r="AX145" i="29" s="1"/>
  <c r="BB5" i="29"/>
  <c r="BC5" i="29" s="1"/>
  <c r="S5" i="29"/>
  <c r="R7" i="29"/>
  <c r="Q13" i="29"/>
  <c r="R11" i="29"/>
  <c r="P90" i="36" l="1"/>
  <c r="AX140" i="29"/>
  <c r="BA24" i="29"/>
  <c r="BA137" i="29"/>
  <c r="BA143" i="29" s="1"/>
  <c r="BA138" i="29"/>
  <c r="AX144" i="29"/>
  <c r="AX146" i="29" s="1"/>
  <c r="AZ143" i="29"/>
  <c r="AZ155" i="29" s="1"/>
  <c r="BI80" i="29"/>
  <c r="Q49" i="30"/>
  <c r="BI98" i="29" s="1"/>
  <c r="P44" i="36"/>
  <c r="V8" i="30"/>
  <c r="V9" i="30"/>
  <c r="R31" i="30" s="1"/>
  <c r="V11" i="30"/>
  <c r="V7" i="30"/>
  <c r="V10" i="30"/>
  <c r="P51" i="36"/>
  <c r="BH65" i="36"/>
  <c r="AW205" i="36"/>
  <c r="BI23" i="29"/>
  <c r="BC11" i="29"/>
  <c r="BD11" i="29" s="1"/>
  <c r="BF143" i="29" s="1"/>
  <c r="P252" i="36"/>
  <c r="AY204" i="36"/>
  <c r="AY205" i="36" s="1"/>
  <c r="P31" i="36"/>
  <c r="P30" i="36"/>
  <c r="P101" i="36"/>
  <c r="P65" i="36"/>
  <c r="P56" i="36"/>
  <c r="Q251" i="36"/>
  <c r="Q250" i="36"/>
  <c r="Q249" i="36"/>
  <c r="Q97" i="36"/>
  <c r="Q98" i="36"/>
  <c r="Q99" i="36"/>
  <c r="Q100" i="36"/>
  <c r="Q88" i="36"/>
  <c r="Q93" i="36"/>
  <c r="Q94" i="36"/>
  <c r="Q96" i="36"/>
  <c r="Q92" i="36"/>
  <c r="Q83" i="36"/>
  <c r="Q84" i="36"/>
  <c r="Q67" i="36"/>
  <c r="Q76" i="36" s="1"/>
  <c r="Q86" i="36"/>
  <c r="Q78" i="36"/>
  <c r="Q54" i="36"/>
  <c r="Q79" i="36"/>
  <c r="Q55" i="36"/>
  <c r="Q85" i="36"/>
  <c r="Q80" i="36"/>
  <c r="Q49" i="36"/>
  <c r="Q46" i="36"/>
  <c r="Q53" i="36"/>
  <c r="Q47" i="36"/>
  <c r="Q82" i="36"/>
  <c r="Q48" i="36"/>
  <c r="Q43" i="36"/>
  <c r="Q89" i="36"/>
  <c r="Q87" i="36"/>
  <c r="Q25" i="36"/>
  <c r="Q50" i="36"/>
  <c r="Q26" i="36"/>
  <c r="Q27" i="36"/>
  <c r="Q29" i="36"/>
  <c r="Q41" i="36"/>
  <c r="Q38" i="36"/>
  <c r="Q95" i="36"/>
  <c r="Q42" i="36"/>
  <c r="Q40" i="36"/>
  <c r="Q28" i="36"/>
  <c r="Q23" i="36"/>
  <c r="Q22" i="36"/>
  <c r="Q81" i="36"/>
  <c r="Q24" i="36"/>
  <c r="O35" i="36"/>
  <c r="O103" i="36" s="1"/>
  <c r="BI24" i="29"/>
  <c r="BI42" i="29"/>
  <c r="BI43" i="29"/>
  <c r="BI44" i="29"/>
  <c r="BI22" i="29"/>
  <c r="BA22" i="29"/>
  <c r="BA42" i="29"/>
  <c r="BB13" i="29"/>
  <c r="BA44" i="29"/>
  <c r="BA23" i="29"/>
  <c r="BA43" i="29"/>
  <c r="AZ26" i="29"/>
  <c r="AZ31" i="29" s="1"/>
  <c r="AZ36" i="29" s="1"/>
  <c r="BB6" i="29"/>
  <c r="AZ46" i="29"/>
  <c r="BF26" i="29"/>
  <c r="BF110" i="29" s="1"/>
  <c r="D17" i="33" s="1"/>
  <c r="BJ13" i="29"/>
  <c r="AY61" i="29"/>
  <c r="AY132" i="29" s="1"/>
  <c r="AY134" i="29" s="1"/>
  <c r="AY139" i="29" s="1"/>
  <c r="AY145" i="29" s="1"/>
  <c r="BH46" i="29"/>
  <c r="BH111" i="29" s="1"/>
  <c r="F27" i="33" s="1"/>
  <c r="BH26" i="29"/>
  <c r="BH110" i="29" s="1"/>
  <c r="F17" i="33" s="1"/>
  <c r="BB7" i="29"/>
  <c r="BD5" i="29"/>
  <c r="BC7" i="29"/>
  <c r="S11" i="29"/>
  <c r="R13" i="29"/>
  <c r="S7" i="29"/>
  <c r="T5" i="29"/>
  <c r="Q90" i="36" l="1"/>
  <c r="AY140" i="29"/>
  <c r="BF155" i="29"/>
  <c r="BG155" i="29"/>
  <c r="BB24" i="29"/>
  <c r="BB137" i="29"/>
  <c r="BB143" i="29" s="1"/>
  <c r="BB138" i="29"/>
  <c r="AY144" i="29"/>
  <c r="BJ80" i="29"/>
  <c r="R49" i="30"/>
  <c r="BJ98" i="29" s="1"/>
  <c r="BC13" i="29"/>
  <c r="BC22" i="29" s="1"/>
  <c r="Q51" i="36"/>
  <c r="P35" i="36"/>
  <c r="P103" i="36" s="1"/>
  <c r="Q56" i="36"/>
  <c r="Q252" i="36"/>
  <c r="AW207" i="36"/>
  <c r="BI65" i="36"/>
  <c r="BJ43" i="29"/>
  <c r="R251" i="36"/>
  <c r="R250" i="36"/>
  <c r="R249" i="36"/>
  <c r="R97" i="36"/>
  <c r="R98" i="36"/>
  <c r="R99" i="36"/>
  <c r="R100" i="36"/>
  <c r="R89" i="36"/>
  <c r="R94" i="36"/>
  <c r="R95" i="36"/>
  <c r="R96" i="36"/>
  <c r="R92" i="36"/>
  <c r="R88" i="36"/>
  <c r="R84" i="36"/>
  <c r="R67" i="36"/>
  <c r="R76" i="36" s="1"/>
  <c r="R53" i="36"/>
  <c r="R93" i="36"/>
  <c r="R86" i="36"/>
  <c r="R78" i="36"/>
  <c r="R79" i="36"/>
  <c r="R55" i="36"/>
  <c r="R85" i="36"/>
  <c r="R80" i="36"/>
  <c r="R49" i="36"/>
  <c r="R87" i="36"/>
  <c r="R81" i="36"/>
  <c r="R50" i="36"/>
  <c r="R54" i="36"/>
  <c r="R47" i="36"/>
  <c r="R82" i="36"/>
  <c r="R48" i="36"/>
  <c r="R26" i="36"/>
  <c r="R83" i="36"/>
  <c r="R46" i="36"/>
  <c r="R27" i="36"/>
  <c r="R41" i="36"/>
  <c r="R38" i="36"/>
  <c r="R24" i="36"/>
  <c r="R42" i="36"/>
  <c r="R40" i="36"/>
  <c r="R28" i="36"/>
  <c r="R43" i="36"/>
  <c r="R22" i="36"/>
  <c r="R25" i="36"/>
  <c r="R29" i="36"/>
  <c r="R23" i="36"/>
  <c r="Q30" i="36"/>
  <c r="Q31" i="36"/>
  <c r="Q101" i="36"/>
  <c r="AZ204" i="36"/>
  <c r="AZ205" i="36" s="1"/>
  <c r="BF205" i="36" s="1"/>
  <c r="BF207" i="36" s="1"/>
  <c r="Q65" i="36"/>
  <c r="Q44" i="36"/>
  <c r="BI26" i="29"/>
  <c r="BI110" i="29" s="1"/>
  <c r="G17" i="33" s="1"/>
  <c r="BI46" i="29"/>
  <c r="BI111" i="29" s="1"/>
  <c r="G27" i="33" s="1"/>
  <c r="BA26" i="29"/>
  <c r="BA31" i="29" s="1"/>
  <c r="BA36" i="29" s="1"/>
  <c r="BB44" i="29"/>
  <c r="BA46" i="29"/>
  <c r="BB23" i="29"/>
  <c r="BB42" i="29"/>
  <c r="BB43" i="29"/>
  <c r="BB22" i="29"/>
  <c r="AZ61" i="29"/>
  <c r="AZ132" i="29" s="1"/>
  <c r="AZ134" i="29" s="1"/>
  <c r="AZ139" i="29" s="1"/>
  <c r="AZ145" i="29" s="1"/>
  <c r="BC6" i="29"/>
  <c r="BJ42" i="29"/>
  <c r="BJ22" i="29"/>
  <c r="BJ24" i="29"/>
  <c r="BJ23" i="29"/>
  <c r="BJ44" i="29"/>
  <c r="BF31" i="29"/>
  <c r="L14" i="33" s="1"/>
  <c r="BF36" i="29"/>
  <c r="BH61" i="29"/>
  <c r="BC42" i="29"/>
  <c r="BC23" i="29"/>
  <c r="BD7" i="29"/>
  <c r="T7" i="29"/>
  <c r="U5" i="29"/>
  <c r="BD13" i="29"/>
  <c r="T11" i="29"/>
  <c r="S13" i="29"/>
  <c r="R90" i="36" l="1"/>
  <c r="AZ140" i="29"/>
  <c r="BC24" i="29"/>
  <c r="BC26" i="29" s="1"/>
  <c r="BC31" i="29" s="1"/>
  <c r="BC36" i="29" s="1"/>
  <c r="BC44" i="29"/>
  <c r="BC43" i="29"/>
  <c r="AY146" i="29"/>
  <c r="AZ144" i="29"/>
  <c r="AZ146" i="29" s="1"/>
  <c r="BD137" i="29"/>
  <c r="BD138" i="29"/>
  <c r="BC138" i="29"/>
  <c r="BC137" i="29"/>
  <c r="BC143" i="29" s="1"/>
  <c r="BI31" i="29"/>
  <c r="O14" i="33" s="1"/>
  <c r="R56" i="36"/>
  <c r="BF208" i="36"/>
  <c r="BF210" i="36" s="1"/>
  <c r="R51" i="36"/>
  <c r="R30" i="36"/>
  <c r="R31" i="36"/>
  <c r="BJ65" i="36"/>
  <c r="Q35" i="36"/>
  <c r="Q103" i="36" s="1"/>
  <c r="R44" i="36"/>
  <c r="R101" i="36"/>
  <c r="AX207" i="36"/>
  <c r="AW208" i="36"/>
  <c r="AW210" i="36" s="1"/>
  <c r="AW111" i="36" s="1"/>
  <c r="BF204" i="36"/>
  <c r="BA204" i="36"/>
  <c r="R65" i="36"/>
  <c r="R252" i="36"/>
  <c r="S251" i="36"/>
  <c r="S250" i="36"/>
  <c r="S249" i="36"/>
  <c r="S98" i="36"/>
  <c r="S99" i="36"/>
  <c r="S100" i="36"/>
  <c r="S93" i="36"/>
  <c r="S95" i="36"/>
  <c r="S97" i="36"/>
  <c r="S94" i="36"/>
  <c r="S67" i="36"/>
  <c r="S76" i="36" s="1"/>
  <c r="S86" i="36"/>
  <c r="S78" i="36"/>
  <c r="S54" i="36"/>
  <c r="S79" i="36"/>
  <c r="S92" i="36"/>
  <c r="S85" i="36"/>
  <c r="S80" i="36"/>
  <c r="S96" i="36"/>
  <c r="S87" i="36"/>
  <c r="S81" i="36"/>
  <c r="S50" i="36"/>
  <c r="S89" i="36"/>
  <c r="S82" i="36"/>
  <c r="S47" i="36"/>
  <c r="S41" i="36"/>
  <c r="S55" i="36"/>
  <c r="S53" i="36"/>
  <c r="S48" i="36"/>
  <c r="S42" i="36"/>
  <c r="S84" i="36"/>
  <c r="S49" i="36"/>
  <c r="S88" i="36"/>
  <c r="S83" i="36"/>
  <c r="S46" i="36"/>
  <c r="S27" i="36"/>
  <c r="S38" i="36"/>
  <c r="S40" i="36"/>
  <c r="S28" i="36"/>
  <c r="S26" i="36"/>
  <c r="S43" i="36"/>
  <c r="S22" i="36"/>
  <c r="S29" i="36"/>
  <c r="S23" i="36"/>
  <c r="S24" i="36"/>
  <c r="S25" i="36"/>
  <c r="BI51" i="29"/>
  <c r="BI56" i="29" s="1"/>
  <c r="BI61" i="29"/>
  <c r="BI132" i="29" s="1"/>
  <c r="BI134" i="29" s="1"/>
  <c r="BH112" i="29"/>
  <c r="BH132" i="29"/>
  <c r="BH134" i="29" s="1"/>
  <c r="BA61" i="29"/>
  <c r="BA132" i="29" s="1"/>
  <c r="BA134" i="29" s="1"/>
  <c r="BA139" i="29" s="1"/>
  <c r="BB46" i="29"/>
  <c r="BB51" i="29" s="1"/>
  <c r="BB56" i="29" s="1"/>
  <c r="BB26" i="29"/>
  <c r="BB31" i="29" s="1"/>
  <c r="BB36" i="29" s="1"/>
  <c r="BJ26" i="29"/>
  <c r="BJ46" i="29"/>
  <c r="BD6" i="29"/>
  <c r="BD24" i="29"/>
  <c r="BG24" i="29" s="1"/>
  <c r="BD22" i="29"/>
  <c r="BG22" i="29" s="1"/>
  <c r="BD43" i="29"/>
  <c r="BG43" i="29" s="1"/>
  <c r="BD42" i="29"/>
  <c r="BG42" i="29" s="1"/>
  <c r="BD23" i="29"/>
  <c r="BG23" i="29" s="1"/>
  <c r="BD44" i="29"/>
  <c r="BG44" i="29" s="1"/>
  <c r="V5" i="29"/>
  <c r="U7" i="29"/>
  <c r="T13" i="29"/>
  <c r="U11" i="29"/>
  <c r="BC46" i="29" l="1"/>
  <c r="BC51" i="29" s="1"/>
  <c r="BC66" i="29" s="1"/>
  <c r="S90" i="36"/>
  <c r="BI144" i="29"/>
  <c r="BI139" i="29"/>
  <c r="BI145" i="29" s="1"/>
  <c r="BA145" i="29"/>
  <c r="BA140" i="29"/>
  <c r="BH144" i="29"/>
  <c r="BH139" i="29"/>
  <c r="BH145" i="29" s="1"/>
  <c r="BD143" i="29"/>
  <c r="BG143" i="29" s="1"/>
  <c r="BH137" i="29"/>
  <c r="BA144" i="29"/>
  <c r="BI36" i="29"/>
  <c r="BI204" i="36" s="1"/>
  <c r="BI205" i="36" s="1"/>
  <c r="R35" i="36"/>
  <c r="R103" i="36" s="1"/>
  <c r="BI112" i="29"/>
  <c r="S56" i="36"/>
  <c r="S101" i="36"/>
  <c r="BB204" i="36"/>
  <c r="BB205" i="36" s="1"/>
  <c r="S51" i="36"/>
  <c r="S30" i="36"/>
  <c r="S31" i="36"/>
  <c r="T251" i="36"/>
  <c r="T250" i="36"/>
  <c r="T249" i="36"/>
  <c r="T99" i="36"/>
  <c r="T100" i="36"/>
  <c r="T94" i="36"/>
  <c r="T97" i="36"/>
  <c r="T85" i="36"/>
  <c r="T96" i="36"/>
  <c r="T92" i="36"/>
  <c r="T86" i="36"/>
  <c r="T98" i="36"/>
  <c r="T78" i="36"/>
  <c r="T93" i="36"/>
  <c r="T79" i="36"/>
  <c r="T55" i="36"/>
  <c r="T80" i="36"/>
  <c r="T87" i="36"/>
  <c r="T81" i="36"/>
  <c r="T89" i="36"/>
  <c r="T82" i="36"/>
  <c r="T95" i="36"/>
  <c r="T83" i="36"/>
  <c r="T54" i="36"/>
  <c r="T53" i="36"/>
  <c r="T48" i="36"/>
  <c r="T42" i="36"/>
  <c r="T43" i="36"/>
  <c r="T84" i="36"/>
  <c r="T67" i="36"/>
  <c r="T76" i="36" s="1"/>
  <c r="T49" i="36"/>
  <c r="T88" i="36"/>
  <c r="T46" i="36"/>
  <c r="T50" i="36"/>
  <c r="T38" i="36"/>
  <c r="T41" i="36"/>
  <c r="T40" i="36"/>
  <c r="T28" i="36"/>
  <c r="T27" i="36"/>
  <c r="T22" i="36"/>
  <c r="T26" i="36"/>
  <c r="T47" i="36"/>
  <c r="T29" i="36"/>
  <c r="T23" i="36"/>
  <c r="T24" i="36"/>
  <c r="T25" i="36"/>
  <c r="BA205" i="36"/>
  <c r="S44" i="36"/>
  <c r="S65" i="36"/>
  <c r="S252" i="36"/>
  <c r="BC204" i="36"/>
  <c r="BC205" i="36" s="1"/>
  <c r="AY207" i="36"/>
  <c r="AX208" i="36"/>
  <c r="AX210" i="36" s="1"/>
  <c r="AX111" i="36" s="1"/>
  <c r="BI66" i="29"/>
  <c r="BI118" i="29" s="1"/>
  <c r="BI120" i="29" s="1"/>
  <c r="BI17" i="36" s="1"/>
  <c r="O15" i="33"/>
  <c r="BJ31" i="29"/>
  <c r="BJ110" i="29"/>
  <c r="H17" i="33" s="1"/>
  <c r="BJ51" i="29"/>
  <c r="P15" i="33" s="1"/>
  <c r="BJ111" i="29"/>
  <c r="H27" i="33" s="1"/>
  <c r="BB61" i="29"/>
  <c r="BB132" i="29" s="1"/>
  <c r="BB134" i="29" s="1"/>
  <c r="BB139" i="29" s="1"/>
  <c r="BB145" i="29" s="1"/>
  <c r="BB66" i="29"/>
  <c r="BB118" i="29" s="1"/>
  <c r="BB120" i="29" s="1"/>
  <c r="BJ61" i="29"/>
  <c r="BG26" i="29"/>
  <c r="BB71" i="29"/>
  <c r="BD46" i="29"/>
  <c r="BD51" i="29" s="1"/>
  <c r="BD26" i="29"/>
  <c r="BD31" i="29" s="1"/>
  <c r="U13" i="29"/>
  <c r="V11" i="29"/>
  <c r="V7" i="29"/>
  <c r="W5" i="29"/>
  <c r="BC61" i="29" l="1"/>
  <c r="BC132" i="29" s="1"/>
  <c r="BC134" i="29" s="1"/>
  <c r="BC139" i="29" s="1"/>
  <c r="BC145" i="29" s="1"/>
  <c r="BC56" i="29"/>
  <c r="BI71" i="29"/>
  <c r="BI150" i="29" s="1"/>
  <c r="BI151" i="29" s="1"/>
  <c r="BA146" i="29"/>
  <c r="T90" i="36"/>
  <c r="BH140" i="29"/>
  <c r="BB140" i="29"/>
  <c r="BB144" i="29"/>
  <c r="BB146" i="29" s="1"/>
  <c r="BC144" i="29"/>
  <c r="BH143" i="29"/>
  <c r="BH146" i="29" s="1"/>
  <c r="BI137" i="29"/>
  <c r="BI140" i="29" s="1"/>
  <c r="BI16" i="36"/>
  <c r="BI65" i="29"/>
  <c r="BI64" i="29" s="1"/>
  <c r="T51" i="36"/>
  <c r="T44" i="36"/>
  <c r="T101" i="36"/>
  <c r="T65" i="36"/>
  <c r="BB118" i="36"/>
  <c r="BB117" i="36"/>
  <c r="S35" i="36"/>
  <c r="S103" i="36" s="1"/>
  <c r="BI117" i="36"/>
  <c r="T31" i="36"/>
  <c r="T30" i="36"/>
  <c r="U251" i="36"/>
  <c r="U250" i="36"/>
  <c r="U249" i="36"/>
  <c r="U100" i="36"/>
  <c r="U97" i="36"/>
  <c r="U99" i="36"/>
  <c r="U95" i="36"/>
  <c r="U96" i="36"/>
  <c r="U92" i="36"/>
  <c r="U86" i="36"/>
  <c r="U87" i="36"/>
  <c r="U89" i="36"/>
  <c r="U93" i="36"/>
  <c r="U79" i="36"/>
  <c r="U80" i="36"/>
  <c r="U49" i="36"/>
  <c r="U85" i="36"/>
  <c r="U81" i="36"/>
  <c r="U82" i="36"/>
  <c r="U83" i="36"/>
  <c r="U88" i="36"/>
  <c r="U84" i="36"/>
  <c r="U55" i="36"/>
  <c r="U43" i="36"/>
  <c r="U67" i="36"/>
  <c r="U76" i="36" s="1"/>
  <c r="U98" i="36"/>
  <c r="U46" i="36"/>
  <c r="U94" i="36"/>
  <c r="U78" i="36"/>
  <c r="U50" i="36"/>
  <c r="U47" i="36"/>
  <c r="U54" i="36"/>
  <c r="U41" i="36"/>
  <c r="U40" i="36"/>
  <c r="U28" i="36"/>
  <c r="U27" i="36"/>
  <c r="U22" i="36"/>
  <c r="U42" i="36"/>
  <c r="U29" i="36"/>
  <c r="U23" i="36"/>
  <c r="U38" i="36"/>
  <c r="U24" i="36"/>
  <c r="U53" i="36"/>
  <c r="U48" i="36"/>
  <c r="U25" i="36"/>
  <c r="U26" i="36"/>
  <c r="T56" i="36"/>
  <c r="O31" i="33"/>
  <c r="BI216" i="36"/>
  <c r="BI235" i="36" s="1"/>
  <c r="AY208" i="36"/>
  <c r="AY210" i="36" s="1"/>
  <c r="AY111" i="36" s="1"/>
  <c r="AZ207" i="36"/>
  <c r="T252" i="36"/>
  <c r="O16" i="33"/>
  <c r="P14" i="33"/>
  <c r="BB150" i="29"/>
  <c r="BB151" i="29" s="1"/>
  <c r="BJ36" i="29"/>
  <c r="BJ112" i="29"/>
  <c r="BJ132" i="29"/>
  <c r="BJ134" i="29" s="1"/>
  <c r="BJ56" i="29"/>
  <c r="BJ66" i="29"/>
  <c r="BH31" i="29"/>
  <c r="BG110" i="29"/>
  <c r="E17" i="33" s="1"/>
  <c r="BB70" i="29"/>
  <c r="BB69" i="29" s="1"/>
  <c r="BB65" i="29"/>
  <c r="BB64" i="29" s="1"/>
  <c r="BC71" i="29"/>
  <c r="BI70" i="29"/>
  <c r="BI69" i="29" s="1"/>
  <c r="BC118" i="29"/>
  <c r="BC120" i="29" s="1"/>
  <c r="BD66" i="29"/>
  <c r="BD56" i="29"/>
  <c r="BD36" i="29"/>
  <c r="BG31" i="29"/>
  <c r="M14" i="33" s="1"/>
  <c r="BD61" i="29"/>
  <c r="BD132" i="29" s="1"/>
  <c r="BD134" i="29" s="1"/>
  <c r="BD139" i="29" s="1"/>
  <c r="BG46" i="29"/>
  <c r="BG111" i="29" s="1"/>
  <c r="E27" i="33" s="1"/>
  <c r="BF46" i="29"/>
  <c r="X5" i="29"/>
  <c r="W7" i="29"/>
  <c r="V13" i="29"/>
  <c r="W11" i="29"/>
  <c r="BI118" i="36" l="1"/>
  <c r="BC140" i="29"/>
  <c r="BC65" i="29"/>
  <c r="BC64" i="29" s="1"/>
  <c r="BC146" i="29"/>
  <c r="U90" i="36"/>
  <c r="BD145" i="29"/>
  <c r="BG145" i="29" s="1"/>
  <c r="BD140" i="29"/>
  <c r="BJ144" i="29"/>
  <c r="BJ139" i="29"/>
  <c r="BJ145" i="29" s="1"/>
  <c r="BB153" i="29"/>
  <c r="BB154" i="29" s="1"/>
  <c r="BB157" i="29" s="1"/>
  <c r="BI143" i="29"/>
  <c r="BI146" i="29" s="1"/>
  <c r="BI153" i="29" s="1"/>
  <c r="BJ137" i="29"/>
  <c r="BD144" i="29"/>
  <c r="T35" i="36"/>
  <c r="T103" i="36" s="1"/>
  <c r="V250" i="36"/>
  <c r="V249" i="36"/>
  <c r="V251" i="36"/>
  <c r="V98" i="36"/>
  <c r="V85" i="36"/>
  <c r="V87" i="36"/>
  <c r="V100" i="36"/>
  <c r="V88" i="36"/>
  <c r="V93" i="36"/>
  <c r="V94" i="36"/>
  <c r="V99" i="36"/>
  <c r="V86" i="36"/>
  <c r="V80" i="36"/>
  <c r="V81" i="36"/>
  <c r="V50" i="36"/>
  <c r="V92" i="36"/>
  <c r="V82" i="36"/>
  <c r="V96" i="36"/>
  <c r="V89" i="36"/>
  <c r="V83" i="36"/>
  <c r="V97" i="36"/>
  <c r="V95" i="36"/>
  <c r="V84" i="36"/>
  <c r="V67" i="36"/>
  <c r="V76" i="36" s="1"/>
  <c r="V53" i="36"/>
  <c r="V79" i="36"/>
  <c r="V49" i="36"/>
  <c r="V46" i="36"/>
  <c r="V78" i="36"/>
  <c r="V47" i="36"/>
  <c r="V54" i="36"/>
  <c r="V48" i="36"/>
  <c r="V22" i="36"/>
  <c r="V28" i="36"/>
  <c r="V42" i="36"/>
  <c r="V29" i="36"/>
  <c r="V23" i="36"/>
  <c r="V43" i="36"/>
  <c r="V24" i="36"/>
  <c r="V38" i="36"/>
  <c r="V41" i="36"/>
  <c r="V25" i="36"/>
  <c r="V55" i="36"/>
  <c r="V26" i="36"/>
  <c r="V40" i="36"/>
  <c r="V27" i="36"/>
  <c r="BC150" i="29"/>
  <c r="BC151" i="29" s="1"/>
  <c r="BC153" i="29" s="1"/>
  <c r="BC117" i="36"/>
  <c r="BC118" i="36"/>
  <c r="BD204" i="36"/>
  <c r="BI245" i="36"/>
  <c r="BI134" i="36"/>
  <c r="O56" i="33" s="1"/>
  <c r="U252" i="36"/>
  <c r="BJ204" i="36"/>
  <c r="BJ205" i="36" s="1"/>
  <c r="BI215" i="36"/>
  <c r="BI18" i="36"/>
  <c r="U101" i="36"/>
  <c r="U56" i="36"/>
  <c r="U65" i="36"/>
  <c r="U51" i="36"/>
  <c r="U31" i="36"/>
  <c r="U30" i="36"/>
  <c r="U44" i="36"/>
  <c r="AZ208" i="36"/>
  <c r="AZ210" i="36" s="1"/>
  <c r="AZ111" i="36" s="1"/>
  <c r="BA207" i="36"/>
  <c r="N14" i="33"/>
  <c r="P16" i="33"/>
  <c r="O30" i="33"/>
  <c r="BJ71" i="29"/>
  <c r="BJ16" i="36" s="1"/>
  <c r="BJ118" i="29"/>
  <c r="BJ120" i="29" s="1"/>
  <c r="BJ17" i="36" s="1"/>
  <c r="BJ65" i="29"/>
  <c r="BJ64" i="29" s="1"/>
  <c r="BH36" i="29"/>
  <c r="BF61" i="29"/>
  <c r="BF111" i="29"/>
  <c r="D27" i="33" s="1"/>
  <c r="BC70" i="29"/>
  <c r="BC69" i="29" s="1"/>
  <c r="BG36" i="29"/>
  <c r="BD65" i="29"/>
  <c r="BD64" i="29" s="1"/>
  <c r="BD71" i="29"/>
  <c r="BG61" i="29"/>
  <c r="BH51" i="29"/>
  <c r="N15" i="33" s="1"/>
  <c r="BD118" i="29"/>
  <c r="W13" i="29"/>
  <c r="X11" i="29"/>
  <c r="Y5" i="29"/>
  <c r="X7" i="29"/>
  <c r="BD146" i="29" l="1"/>
  <c r="BG146" i="29" s="1"/>
  <c r="V90" i="36"/>
  <c r="BI154" i="29"/>
  <c r="BI157" i="29" s="1"/>
  <c r="BJ143" i="29"/>
  <c r="BJ146" i="29" s="1"/>
  <c r="BJ140" i="29"/>
  <c r="BD117" i="36"/>
  <c r="BD16" i="36"/>
  <c r="V44" i="36"/>
  <c r="V252" i="36"/>
  <c r="BI120" i="36"/>
  <c r="BJ216" i="36"/>
  <c r="BJ235" i="36" s="1"/>
  <c r="BA208" i="36"/>
  <c r="BA210" i="36" s="1"/>
  <c r="BA111" i="36" s="1"/>
  <c r="BB207" i="36"/>
  <c r="V56" i="36"/>
  <c r="BJ150" i="29"/>
  <c r="BJ151" i="29" s="1"/>
  <c r="BI234" i="36"/>
  <c r="BI233" i="36"/>
  <c r="BJ118" i="36"/>
  <c r="BJ117" i="36"/>
  <c r="W249" i="36"/>
  <c r="W250" i="36"/>
  <c r="W251" i="36"/>
  <c r="W97" i="36"/>
  <c r="W98" i="36"/>
  <c r="W99" i="36"/>
  <c r="W96" i="36"/>
  <c r="W86" i="36"/>
  <c r="W100" i="36"/>
  <c r="W88" i="36"/>
  <c r="W89" i="36"/>
  <c r="W94" i="36"/>
  <c r="W95" i="36"/>
  <c r="W93" i="36"/>
  <c r="W81" i="36"/>
  <c r="W85" i="36"/>
  <c r="W82" i="36"/>
  <c r="W87" i="36"/>
  <c r="W83" i="36"/>
  <c r="W84" i="36"/>
  <c r="W67" i="36"/>
  <c r="W76" i="36" s="1"/>
  <c r="W53" i="36"/>
  <c r="W78" i="36"/>
  <c r="W54" i="36"/>
  <c r="W49" i="36"/>
  <c r="W46" i="36"/>
  <c r="W80" i="36"/>
  <c r="W50" i="36"/>
  <c r="W47" i="36"/>
  <c r="W41" i="36"/>
  <c r="W48" i="36"/>
  <c r="W42" i="36"/>
  <c r="W55" i="36"/>
  <c r="W29" i="36"/>
  <c r="W23" i="36"/>
  <c r="W43" i="36"/>
  <c r="W24" i="36"/>
  <c r="W25" i="36"/>
  <c r="W28" i="36"/>
  <c r="W79" i="36"/>
  <c r="W26" i="36"/>
  <c r="W27" i="36"/>
  <c r="W40" i="36"/>
  <c r="W38" i="36"/>
  <c r="W22" i="36"/>
  <c r="V51" i="36"/>
  <c r="V101" i="36"/>
  <c r="BD205" i="36"/>
  <c r="BG205" i="36" s="1"/>
  <c r="BG207" i="36" s="1"/>
  <c r="BG204" i="36"/>
  <c r="BH204" i="36"/>
  <c r="BH205" i="36" s="1"/>
  <c r="BD150" i="29"/>
  <c r="O32" i="33"/>
  <c r="O43" i="33" s="1"/>
  <c r="U35" i="36"/>
  <c r="U103" i="36" s="1"/>
  <c r="BD118" i="36"/>
  <c r="V31" i="36"/>
  <c r="V30" i="36"/>
  <c r="V65" i="36"/>
  <c r="BC154" i="29"/>
  <c r="BG144" i="29"/>
  <c r="BD70" i="29"/>
  <c r="BD69" i="29" s="1"/>
  <c r="BJ70" i="29"/>
  <c r="BJ69" i="29" s="1"/>
  <c r="BG112" i="29"/>
  <c r="BG132" i="29"/>
  <c r="BG134" i="29" s="1"/>
  <c r="BG139" i="29" s="1"/>
  <c r="BG140" i="29" s="1"/>
  <c r="BF112" i="29"/>
  <c r="BF132" i="29"/>
  <c r="BF134" i="29" s="1"/>
  <c r="BF139" i="29" s="1"/>
  <c r="BF140" i="29" s="1"/>
  <c r="BH56" i="29"/>
  <c r="BH66" i="29"/>
  <c r="N16" i="33" s="1"/>
  <c r="BD120" i="29"/>
  <c r="BD17" i="36" s="1"/>
  <c r="Y11" i="29"/>
  <c r="X13" i="29"/>
  <c r="Y7" i="29"/>
  <c r="Z5" i="29"/>
  <c r="W90" i="36" l="1"/>
  <c r="BI33" i="36"/>
  <c r="BC33" i="36"/>
  <c r="BC157" i="29"/>
  <c r="P31" i="33"/>
  <c r="W252" i="36"/>
  <c r="AV153" i="36" s="1"/>
  <c r="BD215" i="36"/>
  <c r="BD18" i="36"/>
  <c r="W44" i="36"/>
  <c r="BD216" i="36"/>
  <c r="BD235" i="36" s="1"/>
  <c r="BH207" i="36"/>
  <c r="BG208" i="36"/>
  <c r="BG210" i="36" s="1"/>
  <c r="W65" i="36"/>
  <c r="BJ245" i="36"/>
  <c r="BJ134" i="36"/>
  <c r="BB208" i="36"/>
  <c r="BB210" i="36" s="1"/>
  <c r="BB111" i="36" s="1"/>
  <c r="BC207" i="36"/>
  <c r="W56" i="36"/>
  <c r="W101" i="36"/>
  <c r="BJ215" i="36"/>
  <c r="BJ116" i="36"/>
  <c r="BJ18" i="36"/>
  <c r="W51" i="36"/>
  <c r="BD151" i="29"/>
  <c r="BD153" i="29" s="1"/>
  <c r="X251" i="36"/>
  <c r="X250" i="36"/>
  <c r="X249" i="36"/>
  <c r="X97" i="36"/>
  <c r="X98" i="36"/>
  <c r="X99" i="36"/>
  <c r="X100" i="36"/>
  <c r="X92" i="36"/>
  <c r="X87" i="36"/>
  <c r="X89" i="36"/>
  <c r="X93" i="36"/>
  <c r="X95" i="36"/>
  <c r="X85" i="36"/>
  <c r="X82" i="36"/>
  <c r="X83" i="36"/>
  <c r="X96" i="36"/>
  <c r="X84" i="36"/>
  <c r="X67" i="36"/>
  <c r="X76" i="36" s="1"/>
  <c r="X53" i="36"/>
  <c r="X88" i="36"/>
  <c r="X78" i="36"/>
  <c r="X54" i="36"/>
  <c r="X79" i="36"/>
  <c r="X55" i="36"/>
  <c r="X49" i="36"/>
  <c r="X46" i="36"/>
  <c r="X80" i="36"/>
  <c r="X50" i="36"/>
  <c r="X47" i="36"/>
  <c r="X94" i="36"/>
  <c r="X48" i="36"/>
  <c r="X42" i="36"/>
  <c r="X43" i="36"/>
  <c r="X86" i="36"/>
  <c r="X81" i="36"/>
  <c r="X24" i="36"/>
  <c r="X25" i="36"/>
  <c r="X26" i="36"/>
  <c r="X41" i="36"/>
  <c r="X27" i="36"/>
  <c r="X38" i="36"/>
  <c r="X22" i="36"/>
  <c r="X40" i="36"/>
  <c r="X28" i="36"/>
  <c r="X23" i="36"/>
  <c r="V35" i="36"/>
  <c r="V103" i="36" s="1"/>
  <c r="W31" i="36"/>
  <c r="W30" i="36"/>
  <c r="BI132" i="36"/>
  <c r="O54" i="33" s="1"/>
  <c r="BI244" i="36"/>
  <c r="BJ153" i="29"/>
  <c r="P30" i="33"/>
  <c r="P42" i="33" s="1"/>
  <c r="BH65" i="29"/>
  <c r="BH64" i="29" s="1"/>
  <c r="BH71" i="29"/>
  <c r="BH118" i="29"/>
  <c r="BH120" i="29" s="1"/>
  <c r="BH17" i="36" s="1"/>
  <c r="Z7" i="29"/>
  <c r="AA5" i="29"/>
  <c r="Y13" i="29"/>
  <c r="Z11" i="29"/>
  <c r="X90" i="36" l="1"/>
  <c r="X29" i="36"/>
  <c r="BJ154" i="29"/>
  <c r="BJ157" i="29" s="1"/>
  <c r="BD154" i="29"/>
  <c r="BD157" i="29" s="1"/>
  <c r="BD33" i="36" s="1"/>
  <c r="BH118" i="36"/>
  <c r="BH16" i="36"/>
  <c r="BB16" i="36"/>
  <c r="BB33" i="36"/>
  <c r="BC17" i="36"/>
  <c r="BC216" i="36" s="1"/>
  <c r="BC235" i="36" s="1"/>
  <c r="BB17" i="36"/>
  <c r="BC16" i="36"/>
  <c r="AV131" i="36"/>
  <c r="AW189" i="36" s="1"/>
  <c r="BJ174" i="36"/>
  <c r="P56" i="33"/>
  <c r="W35" i="36"/>
  <c r="W103" i="36" s="1"/>
  <c r="X252" i="36"/>
  <c r="X65" i="36"/>
  <c r="BH117" i="36"/>
  <c r="Y251" i="36"/>
  <c r="Y250" i="36"/>
  <c r="Y249" i="36"/>
  <c r="Y97" i="36"/>
  <c r="Y98" i="36"/>
  <c r="Y99" i="36"/>
  <c r="Y100" i="36"/>
  <c r="Y88" i="36"/>
  <c r="Y93" i="36"/>
  <c r="Y94" i="36"/>
  <c r="Y96" i="36"/>
  <c r="AW96" i="36" s="1"/>
  <c r="Y83" i="36"/>
  <c r="Y92" i="36"/>
  <c r="Y87" i="36"/>
  <c r="Y84" i="36"/>
  <c r="Y89" i="36"/>
  <c r="Y67" i="36"/>
  <c r="Y76" i="36" s="1"/>
  <c r="Y95" i="36"/>
  <c r="Y78" i="36"/>
  <c r="Y54" i="36"/>
  <c r="Y79" i="36"/>
  <c r="Y55" i="36"/>
  <c r="Y80" i="36"/>
  <c r="Y49" i="36"/>
  <c r="Y46" i="36"/>
  <c r="Y82" i="36"/>
  <c r="Y50" i="36"/>
  <c r="Y47" i="36"/>
  <c r="Y48" i="36"/>
  <c r="Y43" i="36"/>
  <c r="Y86" i="36"/>
  <c r="Y81" i="36"/>
  <c r="Y85" i="36"/>
  <c r="Y53" i="36"/>
  <c r="Y42" i="36"/>
  <c r="Y25" i="36"/>
  <c r="Y26" i="36"/>
  <c r="Y27" i="36"/>
  <c r="Y23" i="36"/>
  <c r="Y38" i="36"/>
  <c r="Y40" i="36"/>
  <c r="Y28" i="36"/>
  <c r="Y41" i="36"/>
  <c r="Y22" i="36"/>
  <c r="Y24" i="36"/>
  <c r="Y29" i="36" s="1"/>
  <c r="X101" i="36"/>
  <c r="BJ120" i="36"/>
  <c r="BD207" i="36"/>
  <c r="BD208" i="36" s="1"/>
  <c r="BD210" i="36" s="1"/>
  <c r="BD111" i="36" s="1"/>
  <c r="BC208" i="36"/>
  <c r="BC210" i="36" s="1"/>
  <c r="BC111" i="36" s="1"/>
  <c r="BH208" i="36"/>
  <c r="BH210" i="36" s="1"/>
  <c r="BH111" i="36" s="1"/>
  <c r="BI207" i="36"/>
  <c r="X44" i="36"/>
  <c r="X31" i="36"/>
  <c r="BD120" i="36"/>
  <c r="X51" i="36"/>
  <c r="BJ233" i="36"/>
  <c r="BJ234" i="36"/>
  <c r="BG235" i="36"/>
  <c r="BD245" i="36"/>
  <c r="BD134" i="36"/>
  <c r="BH216" i="36"/>
  <c r="BH235" i="36" s="1"/>
  <c r="X56" i="36"/>
  <c r="AV156" i="36"/>
  <c r="AV157" i="36" s="1"/>
  <c r="BD233" i="36"/>
  <c r="BD234" i="36"/>
  <c r="BG234" i="36" s="1"/>
  <c r="P32" i="33"/>
  <c r="P43" i="33" s="1"/>
  <c r="BH150" i="29"/>
  <c r="BH151" i="29" s="1"/>
  <c r="BH70" i="29"/>
  <c r="BH69" i="29" s="1"/>
  <c r="AA7" i="29"/>
  <c r="AB5" i="29"/>
  <c r="AA11" i="29"/>
  <c r="Z13" i="29"/>
  <c r="Y90" i="36" l="1"/>
  <c r="BF111" i="36"/>
  <c r="BG111" i="36"/>
  <c r="X30" i="36"/>
  <c r="X35" i="36" s="1"/>
  <c r="X103" i="36" s="1"/>
  <c r="BJ33" i="36"/>
  <c r="BF189" i="36"/>
  <c r="L88" i="33" s="1"/>
  <c r="BB215" i="36"/>
  <c r="BB18" i="36"/>
  <c r="BB120" i="36" s="1"/>
  <c r="BC18" i="36"/>
  <c r="BC120" i="36" s="1"/>
  <c r="BC215" i="36"/>
  <c r="BB216" i="36"/>
  <c r="BB235" i="36" s="1"/>
  <c r="BC245" i="36"/>
  <c r="BC134" i="36"/>
  <c r="BD174" i="36" s="1"/>
  <c r="AV135" i="36"/>
  <c r="AV143" i="36" s="1"/>
  <c r="AV159" i="36" s="1"/>
  <c r="BH245" i="36"/>
  <c r="BH134" i="36"/>
  <c r="Y65" i="36"/>
  <c r="N31" i="33"/>
  <c r="BJ132" i="36"/>
  <c r="BJ244" i="36"/>
  <c r="Y101" i="36"/>
  <c r="BG233" i="36"/>
  <c r="BD244" i="36"/>
  <c r="BD132" i="36"/>
  <c r="Y51" i="36"/>
  <c r="Z251" i="36"/>
  <c r="Z250" i="36"/>
  <c r="AW250" i="36" s="1"/>
  <c r="Z249" i="36"/>
  <c r="AW249" i="36" s="1"/>
  <c r="Z97" i="36"/>
  <c r="Z98" i="36"/>
  <c r="Z99" i="36"/>
  <c r="Z100" i="36"/>
  <c r="Z89" i="36"/>
  <c r="AW89" i="36" s="1"/>
  <c r="Z94" i="36"/>
  <c r="Z95" i="36"/>
  <c r="Z92" i="36"/>
  <c r="Z87" i="36"/>
  <c r="Z84" i="36"/>
  <c r="Z67" i="36"/>
  <c r="Z76" i="36" s="1"/>
  <c r="Z53" i="36"/>
  <c r="Z78" i="36"/>
  <c r="Z88" i="36"/>
  <c r="Z79" i="36"/>
  <c r="Z55" i="36"/>
  <c r="Z80" i="36"/>
  <c r="Z49" i="36"/>
  <c r="Z86" i="36"/>
  <c r="Z81" i="36"/>
  <c r="AW81" i="36" s="1"/>
  <c r="Z50" i="36"/>
  <c r="Z82" i="36"/>
  <c r="Z47" i="36"/>
  <c r="Z93" i="36"/>
  <c r="Z48" i="36"/>
  <c r="Z85" i="36"/>
  <c r="AW85" i="36" s="1"/>
  <c r="Z83" i="36"/>
  <c r="Z54" i="36"/>
  <c r="Z46" i="36"/>
  <c r="Z43" i="36"/>
  <c r="AW43" i="36" s="1"/>
  <c r="Z26" i="36"/>
  <c r="Z27" i="36"/>
  <c r="Z42" i="36"/>
  <c r="AW42" i="36" s="1"/>
  <c r="Z38" i="36"/>
  <c r="Z40" i="36"/>
  <c r="Z28" i="36"/>
  <c r="Z41" i="36"/>
  <c r="Z22" i="36"/>
  <c r="Z23" i="36"/>
  <c r="Z24" i="36"/>
  <c r="Z29" i="36" s="1"/>
  <c r="AW29" i="36" s="1"/>
  <c r="Z25" i="36"/>
  <c r="Y252" i="36"/>
  <c r="BI208" i="36"/>
  <c r="BI210" i="36" s="1"/>
  <c r="BI111" i="36" s="1"/>
  <c r="BJ207" i="36"/>
  <c r="BJ208" i="36" s="1"/>
  <c r="BJ210" i="36" s="1"/>
  <c r="BJ111" i="36" s="1"/>
  <c r="Y30" i="36"/>
  <c r="Y31" i="36"/>
  <c r="BG134" i="36"/>
  <c r="M56" i="33" s="1"/>
  <c r="Y44" i="36"/>
  <c r="Y56" i="36"/>
  <c r="BH215" i="36"/>
  <c r="BH18" i="36"/>
  <c r="BI116" i="36"/>
  <c r="BH153" i="29"/>
  <c r="N30" i="33"/>
  <c r="AB11" i="29"/>
  <c r="AA13" i="29"/>
  <c r="AB7" i="29"/>
  <c r="AC5" i="29"/>
  <c r="Z90" i="36" l="1"/>
  <c r="AW24" i="36"/>
  <c r="BH154" i="29"/>
  <c r="BH157" i="29" s="1"/>
  <c r="BC234" i="36"/>
  <c r="BC233" i="36"/>
  <c r="BB234" i="36"/>
  <c r="BB233" i="36"/>
  <c r="AW251" i="36"/>
  <c r="BB245" i="36"/>
  <c r="BB134" i="36"/>
  <c r="BJ172" i="36"/>
  <c r="P54" i="33"/>
  <c r="BI174" i="36"/>
  <c r="N56" i="33"/>
  <c r="Z56" i="36"/>
  <c r="AA251" i="36"/>
  <c r="AA250" i="36"/>
  <c r="AA249" i="36"/>
  <c r="AA98" i="36"/>
  <c r="AA99" i="36"/>
  <c r="AA100" i="36"/>
  <c r="AA97" i="36"/>
  <c r="AA93" i="36"/>
  <c r="AA95" i="36"/>
  <c r="AA96" i="36"/>
  <c r="AA92" i="36"/>
  <c r="AA67" i="36"/>
  <c r="AA76" i="36" s="1"/>
  <c r="AA89" i="36"/>
  <c r="AA78" i="36"/>
  <c r="AA54" i="36"/>
  <c r="AA88" i="36"/>
  <c r="AA79" i="36"/>
  <c r="AA80" i="36"/>
  <c r="AA86" i="36"/>
  <c r="AA81" i="36"/>
  <c r="AA50" i="36"/>
  <c r="AA94" i="36"/>
  <c r="AA85" i="36"/>
  <c r="AA82" i="36"/>
  <c r="AA49" i="36"/>
  <c r="AA47" i="36"/>
  <c r="AA41" i="36"/>
  <c r="AA84" i="36"/>
  <c r="AA48" i="36"/>
  <c r="AA42" i="36"/>
  <c r="AA83" i="36"/>
  <c r="AA87" i="36"/>
  <c r="AA55" i="36"/>
  <c r="AA53" i="36"/>
  <c r="AA46" i="36"/>
  <c r="AA27" i="36"/>
  <c r="AA25" i="36"/>
  <c r="AA43" i="36"/>
  <c r="AA38" i="36"/>
  <c r="AA40" i="36"/>
  <c r="AA28" i="36"/>
  <c r="AA22" i="36"/>
  <c r="AA23" i="36"/>
  <c r="AA26" i="36"/>
  <c r="AA24" i="36"/>
  <c r="Z31" i="36"/>
  <c r="Z30" i="36"/>
  <c r="Z51" i="36"/>
  <c r="Z65" i="36"/>
  <c r="BH234" i="36"/>
  <c r="BH233" i="36"/>
  <c r="BH120" i="36"/>
  <c r="Z44" i="36"/>
  <c r="Z101" i="36"/>
  <c r="Z252" i="36"/>
  <c r="BG132" i="36"/>
  <c r="M54" i="33" s="1"/>
  <c r="BH174" i="36"/>
  <c r="Y35" i="36"/>
  <c r="Y103" i="36" s="1"/>
  <c r="N32" i="33"/>
  <c r="N43" i="33" s="1"/>
  <c r="O42" i="33"/>
  <c r="AB13" i="29"/>
  <c r="AC11" i="29"/>
  <c r="AD5" i="29"/>
  <c r="AC7" i="29"/>
  <c r="AA90" i="36" l="1"/>
  <c r="AA29" i="36"/>
  <c r="BH33" i="36"/>
  <c r="Z35" i="36"/>
  <c r="Z103" i="36" s="1"/>
  <c r="BC174" i="36"/>
  <c r="BB244" i="36"/>
  <c r="BB132" i="36"/>
  <c r="BC132" i="36"/>
  <c r="BD172" i="36" s="1"/>
  <c r="BC244" i="36"/>
  <c r="AA56" i="36"/>
  <c r="AA252" i="36"/>
  <c r="BH244" i="36"/>
  <c r="BH132" i="36"/>
  <c r="BH172" i="36" s="1"/>
  <c r="AA65" i="36"/>
  <c r="AA101" i="36"/>
  <c r="AA30" i="36"/>
  <c r="AA31" i="36"/>
  <c r="AA44" i="36"/>
  <c r="AB251" i="36"/>
  <c r="AB250" i="36"/>
  <c r="AB249" i="36"/>
  <c r="AB99" i="36"/>
  <c r="AB100" i="36"/>
  <c r="AB94" i="36"/>
  <c r="AB85" i="36"/>
  <c r="AB98" i="36"/>
  <c r="AB86" i="36"/>
  <c r="AB92" i="36"/>
  <c r="AB89" i="36"/>
  <c r="AB78" i="36"/>
  <c r="AB96" i="36"/>
  <c r="AB88" i="36"/>
  <c r="AB79" i="36"/>
  <c r="AB55" i="36"/>
  <c r="AB95" i="36"/>
  <c r="AB80" i="36"/>
  <c r="AB97" i="36"/>
  <c r="AB81" i="36"/>
  <c r="AB82" i="36"/>
  <c r="AB83" i="36"/>
  <c r="AB84" i="36"/>
  <c r="AB67" i="36"/>
  <c r="AB76" i="36" s="1"/>
  <c r="AB48" i="36"/>
  <c r="AB42" i="36"/>
  <c r="AB93" i="36"/>
  <c r="AB50" i="36"/>
  <c r="AB43" i="36"/>
  <c r="AB87" i="36"/>
  <c r="AB54" i="36"/>
  <c r="AB53" i="36"/>
  <c r="AB46" i="36"/>
  <c r="AB38" i="36"/>
  <c r="AB26" i="36"/>
  <c r="AB27" i="36"/>
  <c r="AB40" i="36"/>
  <c r="AB28" i="36"/>
  <c r="AB47" i="36"/>
  <c r="AB22" i="36"/>
  <c r="AB41" i="36"/>
  <c r="AB23" i="36"/>
  <c r="AB24" i="36"/>
  <c r="AB29" i="36" s="1"/>
  <c r="AB49" i="36"/>
  <c r="AB25" i="36"/>
  <c r="AA51" i="36"/>
  <c r="AE5" i="29"/>
  <c r="AD7" i="29"/>
  <c r="AC13" i="29"/>
  <c r="AD11" i="29"/>
  <c r="AB90" i="36" l="1"/>
  <c r="BC172" i="36"/>
  <c r="BI172" i="36"/>
  <c r="N54" i="33"/>
  <c r="AB56" i="36"/>
  <c r="AB44" i="36"/>
  <c r="AB252" i="36"/>
  <c r="AB101" i="36"/>
  <c r="AC251" i="36"/>
  <c r="AX251" i="36" s="1"/>
  <c r="AC250" i="36"/>
  <c r="AX250" i="36" s="1"/>
  <c r="AC249" i="36"/>
  <c r="AX249" i="36" s="1"/>
  <c r="AC100" i="36"/>
  <c r="AX100" i="36" s="1"/>
  <c r="AC97" i="36"/>
  <c r="AC95" i="36"/>
  <c r="AC98" i="36"/>
  <c r="AC86" i="36"/>
  <c r="AC96" i="36"/>
  <c r="AC92" i="36"/>
  <c r="AC87" i="36"/>
  <c r="AC89" i="36"/>
  <c r="AC99" i="36"/>
  <c r="AC93" i="36"/>
  <c r="AC88" i="36"/>
  <c r="AX88" i="36" s="1"/>
  <c r="AC79" i="36"/>
  <c r="AC80" i="36"/>
  <c r="AC49" i="36"/>
  <c r="AX49" i="36" s="1"/>
  <c r="AC81" i="36"/>
  <c r="AC82" i="36"/>
  <c r="AC94" i="36"/>
  <c r="AC85" i="36"/>
  <c r="AC83" i="36"/>
  <c r="AC84" i="36"/>
  <c r="AC50" i="36"/>
  <c r="AC43" i="36"/>
  <c r="AX43" i="36" s="1"/>
  <c r="AC78" i="36"/>
  <c r="AC54" i="36"/>
  <c r="AX54" i="36" s="1"/>
  <c r="AC53" i="36"/>
  <c r="AX53" i="36" s="1"/>
  <c r="AC55" i="36"/>
  <c r="AC46" i="36"/>
  <c r="AC47" i="36"/>
  <c r="AC67" i="36"/>
  <c r="AC76" i="36" s="1"/>
  <c r="AC40" i="36"/>
  <c r="AC28" i="36"/>
  <c r="AC22" i="36"/>
  <c r="AC41" i="36"/>
  <c r="AC23" i="36"/>
  <c r="AC42" i="36"/>
  <c r="AC27" i="36"/>
  <c r="AC48" i="36"/>
  <c r="AX48" i="36" s="1"/>
  <c r="AC24" i="36"/>
  <c r="AC29" i="36" s="1"/>
  <c r="AX29" i="36" s="1"/>
  <c r="AC25" i="36"/>
  <c r="AX25" i="36" s="1"/>
  <c r="AC38" i="36"/>
  <c r="AC26" i="36"/>
  <c r="AA35" i="36"/>
  <c r="AA103" i="36" s="1"/>
  <c r="AB65" i="36"/>
  <c r="AB31" i="36"/>
  <c r="AB30" i="36"/>
  <c r="AB51" i="36"/>
  <c r="AF5" i="29"/>
  <c r="AE7" i="29"/>
  <c r="AD13" i="29"/>
  <c r="AE11" i="29"/>
  <c r="AC90" i="36" l="1"/>
  <c r="AX24" i="36"/>
  <c r="AB35" i="36"/>
  <c r="AB103" i="36" s="1"/>
  <c r="AC252" i="36"/>
  <c r="AC101" i="36"/>
  <c r="AC31" i="36"/>
  <c r="AC30" i="36"/>
  <c r="AC65" i="36"/>
  <c r="AC44" i="36"/>
  <c r="AD250" i="36"/>
  <c r="AD249" i="36"/>
  <c r="AD251" i="36"/>
  <c r="AD97" i="36"/>
  <c r="AD98" i="36"/>
  <c r="AD85" i="36"/>
  <c r="AD96" i="36"/>
  <c r="AD92" i="36"/>
  <c r="AD87" i="36"/>
  <c r="AD88" i="36"/>
  <c r="AD99" i="36"/>
  <c r="AD93" i="36"/>
  <c r="AD94" i="36"/>
  <c r="AD80" i="36"/>
  <c r="AD95" i="36"/>
  <c r="AD81" i="36"/>
  <c r="AD50" i="36"/>
  <c r="AD100" i="36"/>
  <c r="AD82" i="36"/>
  <c r="AD86" i="36"/>
  <c r="AD83" i="36"/>
  <c r="AD84" i="36"/>
  <c r="AD67" i="36"/>
  <c r="AD76" i="36" s="1"/>
  <c r="AD53" i="36"/>
  <c r="AD78" i="36"/>
  <c r="AD54" i="36"/>
  <c r="AD55" i="36"/>
  <c r="AD46" i="36"/>
  <c r="AD40" i="36"/>
  <c r="AD89" i="36"/>
  <c r="AD47" i="36"/>
  <c r="AD79" i="36"/>
  <c r="AD49" i="36"/>
  <c r="AD48" i="36"/>
  <c r="AD22" i="36"/>
  <c r="AD41" i="36"/>
  <c r="AD23" i="36"/>
  <c r="AD28" i="36"/>
  <c r="AD24" i="36"/>
  <c r="AD43" i="36"/>
  <c r="AD38" i="36"/>
  <c r="AD25" i="36"/>
  <c r="AD26" i="36"/>
  <c r="AD42" i="36"/>
  <c r="AD27" i="36"/>
  <c r="AC56" i="36"/>
  <c r="AC51" i="36"/>
  <c r="AE13" i="29"/>
  <c r="AF11" i="29"/>
  <c r="AG5" i="29"/>
  <c r="AF7" i="29"/>
  <c r="AD90" i="36" l="1"/>
  <c r="AD29" i="36"/>
  <c r="AD30" i="36" s="1"/>
  <c r="AC35" i="36"/>
  <c r="AC103" i="36" s="1"/>
  <c r="AD56" i="36"/>
  <c r="AD252" i="36"/>
  <c r="AD101" i="36"/>
  <c r="AD51" i="36"/>
  <c r="AD65" i="36"/>
  <c r="AD44" i="36"/>
  <c r="AE249" i="36"/>
  <c r="AE251" i="36"/>
  <c r="AE250" i="36"/>
  <c r="AE97" i="36"/>
  <c r="AE98" i="36"/>
  <c r="AE99" i="36"/>
  <c r="AE100" i="36"/>
  <c r="AE86" i="36"/>
  <c r="AE88" i="36"/>
  <c r="AE89" i="36"/>
  <c r="AE94" i="36"/>
  <c r="AE95" i="36"/>
  <c r="AE96" i="36"/>
  <c r="AE81" i="36"/>
  <c r="AE82" i="36"/>
  <c r="AE83" i="36"/>
  <c r="AE85" i="36"/>
  <c r="AE84" i="36"/>
  <c r="AE67" i="36"/>
  <c r="AE76" i="36" s="1"/>
  <c r="AE53" i="36"/>
  <c r="AE93" i="36"/>
  <c r="AE87" i="36"/>
  <c r="AE78" i="36"/>
  <c r="AE54" i="36"/>
  <c r="AE80" i="36"/>
  <c r="AE55" i="36"/>
  <c r="AE46" i="36"/>
  <c r="AE47" i="36"/>
  <c r="AE41" i="36"/>
  <c r="AE79" i="36"/>
  <c r="AE49" i="36"/>
  <c r="AE48" i="36"/>
  <c r="AE42" i="36"/>
  <c r="AE50" i="36"/>
  <c r="AE23" i="36"/>
  <c r="AE28" i="36"/>
  <c r="AE92" i="36"/>
  <c r="AE24" i="36"/>
  <c r="AE29" i="36" s="1"/>
  <c r="AE25" i="36"/>
  <c r="AE26" i="36"/>
  <c r="AE27" i="36"/>
  <c r="AE43" i="36"/>
  <c r="AE38" i="36"/>
  <c r="AE40" i="36"/>
  <c r="AE22" i="36"/>
  <c r="AD31" i="36"/>
  <c r="AG11" i="29"/>
  <c r="AF13" i="29"/>
  <c r="AG7" i="29"/>
  <c r="AH5" i="29"/>
  <c r="AE90" i="36" l="1"/>
  <c r="AE101" i="36"/>
  <c r="AE44" i="36"/>
  <c r="AE252" i="36"/>
  <c r="AF251" i="36"/>
  <c r="AY251" i="36" s="1"/>
  <c r="AF249" i="36"/>
  <c r="AY249" i="36" s="1"/>
  <c r="AF250" i="36"/>
  <c r="AY250" i="36" s="1"/>
  <c r="AF97" i="36"/>
  <c r="AF98" i="36"/>
  <c r="AY98" i="36" s="1"/>
  <c r="AF99" i="36"/>
  <c r="AF100" i="36"/>
  <c r="AF96" i="36"/>
  <c r="AF92" i="36"/>
  <c r="AF87" i="36"/>
  <c r="AF89" i="36"/>
  <c r="AF93" i="36"/>
  <c r="AF95" i="36"/>
  <c r="AF82" i="36"/>
  <c r="AF83" i="36"/>
  <c r="AY83" i="36" s="1"/>
  <c r="AF86" i="36"/>
  <c r="AY86" i="36" s="1"/>
  <c r="AF85" i="36"/>
  <c r="AY85" i="36" s="1"/>
  <c r="AF84" i="36"/>
  <c r="AY84" i="36" s="1"/>
  <c r="AF94" i="36"/>
  <c r="AY94" i="36" s="1"/>
  <c r="AF67" i="36"/>
  <c r="AF76" i="36" s="1"/>
  <c r="AF53" i="36"/>
  <c r="AF78" i="36"/>
  <c r="AF54" i="36"/>
  <c r="AY54" i="36" s="1"/>
  <c r="AF79" i="36"/>
  <c r="AY79" i="36" s="1"/>
  <c r="AF55" i="36"/>
  <c r="AY55" i="36" s="1"/>
  <c r="AF80" i="36"/>
  <c r="AY80" i="36" s="1"/>
  <c r="AF46" i="36"/>
  <c r="AF47" i="36"/>
  <c r="AF88" i="36"/>
  <c r="AY88" i="36" s="1"/>
  <c r="AF81" i="36"/>
  <c r="AF49" i="36"/>
  <c r="AF48" i="36"/>
  <c r="AF42" i="36"/>
  <c r="AF43" i="36"/>
  <c r="AY43" i="36" s="1"/>
  <c r="AF50" i="36"/>
  <c r="AF41" i="36"/>
  <c r="AY41" i="36" s="1"/>
  <c r="AF24" i="36"/>
  <c r="AF25" i="36"/>
  <c r="AF22" i="36"/>
  <c r="AF26" i="36"/>
  <c r="AY26" i="36" s="1"/>
  <c r="AF40" i="36"/>
  <c r="AF27" i="36"/>
  <c r="AY27" i="36" s="1"/>
  <c r="AF38" i="36"/>
  <c r="AF28" i="36"/>
  <c r="AY28" i="36" s="1"/>
  <c r="AF23" i="36"/>
  <c r="AE65" i="36"/>
  <c r="AD35" i="36"/>
  <c r="AD103" i="36" s="1"/>
  <c r="AE51" i="36"/>
  <c r="AE56" i="36"/>
  <c r="AE31" i="36"/>
  <c r="AE30" i="36"/>
  <c r="AG13" i="29"/>
  <c r="AH11" i="29"/>
  <c r="AI5" i="29"/>
  <c r="AH7" i="29"/>
  <c r="AF90" i="36" l="1"/>
  <c r="AF29" i="36"/>
  <c r="AY29" i="36" s="1"/>
  <c r="AY24" i="36"/>
  <c r="AF56" i="36"/>
  <c r="AF51" i="36"/>
  <c r="AF44" i="36"/>
  <c r="AF31" i="36"/>
  <c r="AG251" i="36"/>
  <c r="AG250" i="36"/>
  <c r="AG249" i="36"/>
  <c r="AG97" i="36"/>
  <c r="AG98" i="36"/>
  <c r="AG99" i="36"/>
  <c r="AG100" i="36"/>
  <c r="AG88" i="36"/>
  <c r="AG93" i="36"/>
  <c r="AG94" i="36"/>
  <c r="AG95" i="36"/>
  <c r="AG83" i="36"/>
  <c r="AG86" i="36"/>
  <c r="AG85" i="36"/>
  <c r="AG84" i="36"/>
  <c r="AG67" i="36"/>
  <c r="AG76" i="36" s="1"/>
  <c r="AG78" i="36"/>
  <c r="AG54" i="36"/>
  <c r="AG87" i="36"/>
  <c r="AG79" i="36"/>
  <c r="AG55" i="36"/>
  <c r="AG80" i="36"/>
  <c r="AG49" i="36"/>
  <c r="AG46" i="36"/>
  <c r="AG96" i="36"/>
  <c r="AG53" i="36"/>
  <c r="AG47" i="36"/>
  <c r="AG81" i="36"/>
  <c r="AG48" i="36"/>
  <c r="AG89" i="36"/>
  <c r="AG43" i="36"/>
  <c r="AG50" i="36"/>
  <c r="AG92" i="36"/>
  <c r="AG25" i="36"/>
  <c r="AG26" i="36"/>
  <c r="AG27" i="36"/>
  <c r="AG82" i="36"/>
  <c r="AG38" i="36"/>
  <c r="AG42" i="36"/>
  <c r="AG28" i="36"/>
  <c r="AG40" i="36"/>
  <c r="AG22" i="36"/>
  <c r="AG23" i="36"/>
  <c r="AG41" i="36"/>
  <c r="AG24" i="36"/>
  <c r="AE35" i="36"/>
  <c r="AE103" i="36" s="1"/>
  <c r="AF252" i="36"/>
  <c r="AF65" i="36"/>
  <c r="AF101" i="36"/>
  <c r="AI11" i="29"/>
  <c r="AH13" i="29"/>
  <c r="AI7" i="29"/>
  <c r="AJ5" i="29"/>
  <c r="AF30" i="36" l="1"/>
  <c r="AF35" i="36" s="1"/>
  <c r="AF103" i="36" s="1"/>
  <c r="AG90" i="36"/>
  <c r="AG29" i="36"/>
  <c r="AG30" i="36" s="1"/>
  <c r="AG252" i="36"/>
  <c r="AG51" i="36"/>
  <c r="AH251" i="36"/>
  <c r="AH250" i="36"/>
  <c r="AH249" i="36"/>
  <c r="AH97" i="36"/>
  <c r="AH98" i="36"/>
  <c r="AH99" i="36"/>
  <c r="AH100" i="36"/>
  <c r="AH89" i="36"/>
  <c r="AH94" i="36"/>
  <c r="AH95" i="36"/>
  <c r="AH96" i="36"/>
  <c r="AH92" i="36"/>
  <c r="AZ92" i="36" s="1"/>
  <c r="AH86" i="36"/>
  <c r="AH85" i="36"/>
  <c r="AH84" i="36"/>
  <c r="AH67" i="36"/>
  <c r="AH76" i="36" s="1"/>
  <c r="AH53" i="36"/>
  <c r="AH78" i="36"/>
  <c r="AH87" i="36"/>
  <c r="AH79" i="36"/>
  <c r="AH55" i="36"/>
  <c r="AH93" i="36"/>
  <c r="AH80" i="36"/>
  <c r="AH49" i="36"/>
  <c r="AH81" i="36"/>
  <c r="AH50" i="36"/>
  <c r="AH54" i="36"/>
  <c r="AH47" i="36"/>
  <c r="AH48" i="36"/>
  <c r="AH88" i="36"/>
  <c r="AH83" i="36"/>
  <c r="AH82" i="36"/>
  <c r="AH26" i="36"/>
  <c r="AH24" i="36"/>
  <c r="AH29" i="36" s="1"/>
  <c r="AH27" i="36"/>
  <c r="AH38" i="36"/>
  <c r="AH46" i="36"/>
  <c r="AH42" i="36"/>
  <c r="AH28" i="36"/>
  <c r="AH43" i="36"/>
  <c r="AH40" i="36"/>
  <c r="AH22" i="36"/>
  <c r="AH25" i="36"/>
  <c r="AH23" i="36"/>
  <c r="AH41" i="36"/>
  <c r="AG31" i="36"/>
  <c r="AG44" i="36"/>
  <c r="AG65" i="36"/>
  <c r="AG56" i="36"/>
  <c r="AG101" i="36"/>
  <c r="AJ11" i="29"/>
  <c r="AI13" i="29"/>
  <c r="AJ7" i="29"/>
  <c r="AK5" i="29"/>
  <c r="AH90" i="36" l="1"/>
  <c r="AH44" i="36"/>
  <c r="AH252" i="36"/>
  <c r="AG35" i="36"/>
  <c r="AG103" i="36" s="1"/>
  <c r="AH101" i="36"/>
  <c r="AH30" i="36"/>
  <c r="AH31" i="36"/>
  <c r="AH65" i="36"/>
  <c r="AI251" i="36"/>
  <c r="AZ251" i="36" s="1"/>
  <c r="AI250" i="36"/>
  <c r="AZ250" i="36" s="1"/>
  <c r="AI249" i="36"/>
  <c r="AZ249" i="36" s="1"/>
  <c r="AI98" i="36"/>
  <c r="AI99" i="36"/>
  <c r="AZ99" i="36" s="1"/>
  <c r="AI100" i="36"/>
  <c r="AI93" i="36"/>
  <c r="AI95" i="36"/>
  <c r="AZ95" i="36" s="1"/>
  <c r="AI96" i="36"/>
  <c r="AI97" i="36"/>
  <c r="AI67" i="36"/>
  <c r="AI76" i="36" s="1"/>
  <c r="AI78" i="36"/>
  <c r="AI54" i="36"/>
  <c r="AI94" i="36"/>
  <c r="AI87" i="36"/>
  <c r="AI79" i="36"/>
  <c r="AI80" i="36"/>
  <c r="AI81" i="36"/>
  <c r="AZ81" i="36" s="1"/>
  <c r="AI50" i="36"/>
  <c r="AI89" i="36"/>
  <c r="AI88" i="36"/>
  <c r="AI82" i="36"/>
  <c r="AZ82" i="36" s="1"/>
  <c r="AI47" i="36"/>
  <c r="AZ47" i="36" s="1"/>
  <c r="AI41" i="36"/>
  <c r="AI55" i="36"/>
  <c r="AI53" i="36"/>
  <c r="AI48" i="36"/>
  <c r="AI42" i="36"/>
  <c r="AI83" i="36"/>
  <c r="AZ83" i="36" s="1"/>
  <c r="AI49" i="36"/>
  <c r="AI86" i="36"/>
  <c r="AI85" i="36"/>
  <c r="AI46" i="36"/>
  <c r="AZ46" i="36" s="1"/>
  <c r="AI27" i="36"/>
  <c r="AI26" i="36"/>
  <c r="AI38" i="36"/>
  <c r="AZ38" i="36" s="1"/>
  <c r="AI28" i="36"/>
  <c r="AI43" i="36"/>
  <c r="AI40" i="36"/>
  <c r="AI22" i="36"/>
  <c r="AI23" i="36"/>
  <c r="AI25" i="36"/>
  <c r="AI24" i="36"/>
  <c r="AI29" i="36" s="1"/>
  <c r="AZ29" i="36" s="1"/>
  <c r="AI84" i="36"/>
  <c r="AH51" i="36"/>
  <c r="AH56" i="36"/>
  <c r="AL5" i="29"/>
  <c r="AK7" i="29"/>
  <c r="AJ13" i="29"/>
  <c r="AK11" i="29"/>
  <c r="AI90" i="36" l="1"/>
  <c r="AZ24" i="36"/>
  <c r="AI56" i="36"/>
  <c r="AI101" i="36"/>
  <c r="AI31" i="36"/>
  <c r="AZ31" i="36" s="1"/>
  <c r="AI30" i="36"/>
  <c r="AI44" i="36"/>
  <c r="AI65" i="36"/>
  <c r="AH35" i="36"/>
  <c r="AH103" i="36" s="1"/>
  <c r="AI252" i="36"/>
  <c r="AJ251" i="36"/>
  <c r="AJ250" i="36"/>
  <c r="AJ249" i="36"/>
  <c r="AJ99" i="36"/>
  <c r="AJ100" i="36"/>
  <c r="AJ94" i="36"/>
  <c r="AJ85" i="36"/>
  <c r="AJ86" i="36"/>
  <c r="AJ97" i="36"/>
  <c r="AJ92" i="36"/>
  <c r="AJ78" i="36"/>
  <c r="AJ87" i="36"/>
  <c r="AJ79" i="36"/>
  <c r="AJ55" i="36"/>
  <c r="AJ80" i="36"/>
  <c r="AJ93" i="36"/>
  <c r="AJ81" i="36"/>
  <c r="AJ89" i="36"/>
  <c r="AJ88" i="36"/>
  <c r="AJ82" i="36"/>
  <c r="AJ98" i="36"/>
  <c r="AJ83" i="36"/>
  <c r="AJ54" i="36"/>
  <c r="AJ53" i="36"/>
  <c r="AJ48" i="36"/>
  <c r="AJ42" i="36"/>
  <c r="AJ96" i="36"/>
  <c r="AJ43" i="36"/>
  <c r="AJ49" i="36"/>
  <c r="AJ50" i="36"/>
  <c r="AJ46" i="36"/>
  <c r="AJ95" i="36"/>
  <c r="AJ84" i="36"/>
  <c r="AJ67" i="36"/>
  <c r="AJ76" i="36" s="1"/>
  <c r="AJ38" i="36"/>
  <c r="AJ47" i="36"/>
  <c r="AJ40" i="36"/>
  <c r="AJ22" i="36"/>
  <c r="AJ27" i="36"/>
  <c r="AJ23" i="36"/>
  <c r="AJ24" i="36"/>
  <c r="AJ26" i="36"/>
  <c r="AJ41" i="36"/>
  <c r="AJ25" i="36"/>
  <c r="AI51" i="36"/>
  <c r="AK13" i="29"/>
  <c r="AL11" i="29"/>
  <c r="AM5" i="29"/>
  <c r="AL7" i="29"/>
  <c r="AJ90" i="36" l="1"/>
  <c r="AJ29" i="36"/>
  <c r="AJ51" i="36"/>
  <c r="AI35" i="36"/>
  <c r="AI103" i="36" s="1"/>
  <c r="AK251" i="36"/>
  <c r="AK250" i="36"/>
  <c r="AK249" i="36"/>
  <c r="AK100" i="36"/>
  <c r="AK97" i="36"/>
  <c r="AK98" i="36"/>
  <c r="AK95" i="36"/>
  <c r="AK86" i="36"/>
  <c r="AK96" i="36"/>
  <c r="BA96" i="36" s="1"/>
  <c r="AK87" i="36"/>
  <c r="AK89" i="36"/>
  <c r="AK93" i="36"/>
  <c r="AK79" i="36"/>
  <c r="AK94" i="36"/>
  <c r="AK80" i="36"/>
  <c r="AK49" i="36"/>
  <c r="AK81" i="36"/>
  <c r="AK88" i="36"/>
  <c r="AK82" i="36"/>
  <c r="AK83" i="36"/>
  <c r="AK92" i="36"/>
  <c r="AK84" i="36"/>
  <c r="AK55" i="36"/>
  <c r="AK43" i="36"/>
  <c r="AK78" i="36"/>
  <c r="AK99" i="36"/>
  <c r="AK85" i="36"/>
  <c r="AK50" i="36"/>
  <c r="AK46" i="36"/>
  <c r="AK67" i="36"/>
  <c r="AK76" i="36" s="1"/>
  <c r="AK47" i="36"/>
  <c r="AK40" i="36"/>
  <c r="AK22" i="36"/>
  <c r="AK48" i="36"/>
  <c r="AK42" i="36"/>
  <c r="AK23" i="36"/>
  <c r="AK54" i="36"/>
  <c r="AK53" i="36"/>
  <c r="AK24" i="36"/>
  <c r="AK29" i="36" s="1"/>
  <c r="AK41" i="36"/>
  <c r="AK25" i="36"/>
  <c r="AK26" i="36"/>
  <c r="AK27" i="36"/>
  <c r="AK38" i="36"/>
  <c r="AJ44" i="36"/>
  <c r="AJ56" i="36"/>
  <c r="AJ252" i="36"/>
  <c r="AJ31" i="36"/>
  <c r="AJ101" i="36"/>
  <c r="AJ28" i="36"/>
  <c r="AJ65" i="36"/>
  <c r="AL13" i="29"/>
  <c r="AM11" i="29"/>
  <c r="AN5" i="29"/>
  <c r="AM7" i="29"/>
  <c r="AK90" i="36" l="1"/>
  <c r="AJ30" i="36"/>
  <c r="AJ35" i="36" s="1"/>
  <c r="AJ103" i="36" s="1"/>
  <c r="AK28" i="36"/>
  <c r="AK30" i="36" s="1"/>
  <c r="AK252" i="36"/>
  <c r="AL250" i="36"/>
  <c r="AL249" i="36"/>
  <c r="BA249" i="36" s="1"/>
  <c r="AL251" i="36"/>
  <c r="BA251" i="36" s="1"/>
  <c r="AL97" i="36"/>
  <c r="AL98" i="36"/>
  <c r="AL85" i="36"/>
  <c r="AL87" i="36"/>
  <c r="AL99" i="36"/>
  <c r="AL92" i="36"/>
  <c r="AL88" i="36"/>
  <c r="AL93" i="36"/>
  <c r="AL94" i="36"/>
  <c r="AL80" i="36"/>
  <c r="AL100" i="36"/>
  <c r="AL81" i="36"/>
  <c r="BA81" i="36" s="1"/>
  <c r="AL50" i="36"/>
  <c r="AL82" i="36"/>
  <c r="BA82" i="36" s="1"/>
  <c r="AL89" i="36"/>
  <c r="AL83" i="36"/>
  <c r="BA83" i="36" s="1"/>
  <c r="AL84" i="36"/>
  <c r="BA84" i="36" s="1"/>
  <c r="AL67" i="36"/>
  <c r="AL76" i="36" s="1"/>
  <c r="AL53" i="36"/>
  <c r="AL78" i="36"/>
  <c r="AL49" i="36"/>
  <c r="AL86" i="36"/>
  <c r="AL46" i="36"/>
  <c r="AL79" i="36"/>
  <c r="BA79" i="36" s="1"/>
  <c r="AL40" i="36"/>
  <c r="AL95" i="36"/>
  <c r="AL47" i="36"/>
  <c r="AL54" i="36"/>
  <c r="AL48" i="36"/>
  <c r="AL22" i="36"/>
  <c r="BA22" i="36" s="1"/>
  <c r="AL42" i="36"/>
  <c r="BA42" i="36" s="1"/>
  <c r="AL23" i="36"/>
  <c r="AL43" i="36"/>
  <c r="AL24" i="36"/>
  <c r="AL29" i="36" s="1"/>
  <c r="BA29" i="36" s="1"/>
  <c r="AL55" i="36"/>
  <c r="BA55" i="36" s="1"/>
  <c r="AL41" i="36"/>
  <c r="AL25" i="36"/>
  <c r="BA25" i="36" s="1"/>
  <c r="AL26" i="36"/>
  <c r="AL27" i="36"/>
  <c r="BA27" i="36" s="1"/>
  <c r="AL38" i="36"/>
  <c r="AK44" i="36"/>
  <c r="AK65" i="36"/>
  <c r="AK56" i="36"/>
  <c r="AK31" i="36"/>
  <c r="AK51" i="36"/>
  <c r="AK101" i="36"/>
  <c r="AO5" i="29"/>
  <c r="AN7" i="29"/>
  <c r="AM13" i="29"/>
  <c r="AN11" i="29"/>
  <c r="AL90" i="36" l="1"/>
  <c r="BA24" i="36"/>
  <c r="BA250" i="36"/>
  <c r="AL28" i="36"/>
  <c r="BA28" i="36" s="1"/>
  <c r="AK35" i="36"/>
  <c r="AK103" i="36" s="1"/>
  <c r="AL44" i="36"/>
  <c r="AL56" i="36"/>
  <c r="AL65" i="36"/>
  <c r="AL31" i="36"/>
  <c r="AL252" i="36"/>
  <c r="AM249" i="36"/>
  <c r="AM251" i="36"/>
  <c r="AM250" i="36"/>
  <c r="AM97" i="36"/>
  <c r="AM98" i="36"/>
  <c r="AM99" i="36"/>
  <c r="AM86" i="36"/>
  <c r="AM96" i="36"/>
  <c r="AM92" i="36"/>
  <c r="AM88" i="36"/>
  <c r="AM89" i="36"/>
  <c r="AM94" i="36"/>
  <c r="AM100" i="36"/>
  <c r="AM95" i="36"/>
  <c r="AM87" i="36"/>
  <c r="AM81" i="36"/>
  <c r="AM82" i="36"/>
  <c r="AM93" i="36"/>
  <c r="AM83" i="36"/>
  <c r="AM84" i="36"/>
  <c r="AM67" i="36"/>
  <c r="AM76" i="36" s="1"/>
  <c r="AM53" i="36"/>
  <c r="AM85" i="36"/>
  <c r="AM78" i="36"/>
  <c r="AM54" i="36"/>
  <c r="AM49" i="36"/>
  <c r="AM50" i="36"/>
  <c r="AM46" i="36"/>
  <c r="AM79" i="36"/>
  <c r="AM47" i="36"/>
  <c r="AM41" i="36"/>
  <c r="AM48" i="36"/>
  <c r="AM42" i="36"/>
  <c r="AM55" i="36"/>
  <c r="AM80" i="36"/>
  <c r="AM40" i="36"/>
  <c r="AM23" i="36"/>
  <c r="AM43" i="36"/>
  <c r="AM24" i="36"/>
  <c r="AM25" i="36"/>
  <c r="AM26" i="36"/>
  <c r="AM27" i="36"/>
  <c r="AM38" i="36"/>
  <c r="AM22" i="36"/>
  <c r="AL51" i="36"/>
  <c r="AL101" i="36"/>
  <c r="AO11" i="29"/>
  <c r="AN13" i="29"/>
  <c r="AO7" i="29"/>
  <c r="AP5" i="29"/>
  <c r="AM90" i="36" l="1"/>
  <c r="AL30" i="36"/>
  <c r="AL35" i="36" s="1"/>
  <c r="AL103" i="36" s="1"/>
  <c r="AM29" i="36"/>
  <c r="AM51" i="36"/>
  <c r="AM101" i="36"/>
  <c r="AM252" i="36"/>
  <c r="AM44" i="36"/>
  <c r="AM65" i="36"/>
  <c r="AN251" i="36"/>
  <c r="AN249" i="36"/>
  <c r="AN250" i="36"/>
  <c r="AN97" i="36"/>
  <c r="AN98" i="36"/>
  <c r="AN99" i="36"/>
  <c r="AN100" i="36"/>
  <c r="AN87" i="36"/>
  <c r="AN89" i="36"/>
  <c r="AN93" i="36"/>
  <c r="AN95" i="36"/>
  <c r="AN94" i="36"/>
  <c r="AN82" i="36"/>
  <c r="AN83" i="36"/>
  <c r="AN88" i="36"/>
  <c r="AN84" i="36"/>
  <c r="AN67" i="36"/>
  <c r="AN76" i="36" s="1"/>
  <c r="AN53" i="36"/>
  <c r="AN92" i="36"/>
  <c r="AN85" i="36"/>
  <c r="AN78" i="36"/>
  <c r="AN54" i="36"/>
  <c r="AN96" i="36"/>
  <c r="AN86" i="36"/>
  <c r="AN79" i="36"/>
  <c r="AN55" i="36"/>
  <c r="AN50" i="36"/>
  <c r="AN46" i="36"/>
  <c r="AN81" i="36"/>
  <c r="AN47" i="36"/>
  <c r="AN48" i="36"/>
  <c r="AN42" i="36"/>
  <c r="AN43" i="36"/>
  <c r="AN80" i="36"/>
  <c r="AN24" i="36"/>
  <c r="AN29" i="36" s="1"/>
  <c r="AN22" i="36"/>
  <c r="AN25" i="36"/>
  <c r="AN41" i="36"/>
  <c r="AN26" i="36"/>
  <c r="AN40" i="36"/>
  <c r="AN27" i="36"/>
  <c r="AN49" i="36"/>
  <c r="AN38" i="36"/>
  <c r="AN23" i="36"/>
  <c r="AM56" i="36"/>
  <c r="AM31" i="36"/>
  <c r="AM28" i="36"/>
  <c r="AP11" i="29"/>
  <c r="AO13" i="29"/>
  <c r="AQ5" i="29"/>
  <c r="AP7" i="29"/>
  <c r="AN90" i="36" l="1"/>
  <c r="AM30" i="36"/>
  <c r="AM35" i="36" s="1"/>
  <c r="AM103" i="36" s="1"/>
  <c r="AN28" i="36"/>
  <c r="AN30" i="36" s="1"/>
  <c r="AN44" i="36"/>
  <c r="AN56" i="36"/>
  <c r="AN252" i="36"/>
  <c r="AN31" i="36"/>
  <c r="AN51" i="36"/>
  <c r="AN65" i="36"/>
  <c r="AO251" i="36"/>
  <c r="BB251" i="36" s="1"/>
  <c r="AO250" i="36"/>
  <c r="BB250" i="36" s="1"/>
  <c r="AO249" i="36"/>
  <c r="BB249" i="36" s="1"/>
  <c r="AO97" i="36"/>
  <c r="AO98" i="36"/>
  <c r="BB98" i="36" s="1"/>
  <c r="AO99" i="36"/>
  <c r="AO100" i="36"/>
  <c r="AO96" i="36"/>
  <c r="BB96" i="36" s="1"/>
  <c r="AO92" i="36"/>
  <c r="BB92" i="36" s="1"/>
  <c r="AO88" i="36"/>
  <c r="AO93" i="36"/>
  <c r="BB93" i="36" s="1"/>
  <c r="AO94" i="36"/>
  <c r="AO83" i="36"/>
  <c r="AO84" i="36"/>
  <c r="AO89" i="36"/>
  <c r="AO67" i="36"/>
  <c r="AO76" i="36" s="1"/>
  <c r="AO85" i="36"/>
  <c r="AO78" i="36"/>
  <c r="AO54" i="36"/>
  <c r="AO86" i="36"/>
  <c r="AO79" i="36"/>
  <c r="AO55" i="36"/>
  <c r="AO95" i="36"/>
  <c r="AO80" i="36"/>
  <c r="BB80" i="36" s="1"/>
  <c r="AO49" i="36"/>
  <c r="AO50" i="36"/>
  <c r="AO46" i="36"/>
  <c r="AO81" i="36"/>
  <c r="BB81" i="36" s="1"/>
  <c r="AO47" i="36"/>
  <c r="AO87" i="36"/>
  <c r="BB87" i="36" s="1"/>
  <c r="AO48" i="36"/>
  <c r="AO43" i="36"/>
  <c r="BB43" i="36" s="1"/>
  <c r="AO82" i="36"/>
  <c r="BB82" i="36" s="1"/>
  <c r="AO53" i="36"/>
  <c r="AO42" i="36"/>
  <c r="AO25" i="36"/>
  <c r="AO23" i="36"/>
  <c r="BB23" i="36" s="1"/>
  <c r="AO41" i="36"/>
  <c r="AO26" i="36"/>
  <c r="AO27" i="36"/>
  <c r="AO38" i="36"/>
  <c r="AO22" i="36"/>
  <c r="BB22" i="36" s="1"/>
  <c r="AO40" i="36"/>
  <c r="AO24" i="36"/>
  <c r="AO29" i="36" s="1"/>
  <c r="BB29" i="36" s="1"/>
  <c r="AN101" i="36"/>
  <c r="AQ7" i="29"/>
  <c r="AR5" i="29"/>
  <c r="AQ11" i="29"/>
  <c r="AP13" i="29"/>
  <c r="BB78" i="36" l="1"/>
  <c r="AO90" i="36"/>
  <c r="BB24" i="36"/>
  <c r="AN35" i="36"/>
  <c r="AN103" i="36" s="1"/>
  <c r="AO51" i="36"/>
  <c r="AO28" i="36"/>
  <c r="BB28" i="36" s="1"/>
  <c r="AO56" i="36"/>
  <c r="AP251" i="36"/>
  <c r="AP250" i="36"/>
  <c r="AP249" i="36"/>
  <c r="AP97" i="36"/>
  <c r="AP98" i="36"/>
  <c r="AP99" i="36"/>
  <c r="AP100" i="36"/>
  <c r="AP89" i="36"/>
  <c r="AP94" i="36"/>
  <c r="AP95" i="36"/>
  <c r="AP84" i="36"/>
  <c r="AP93" i="36"/>
  <c r="AP88" i="36"/>
  <c r="AP67" i="36"/>
  <c r="AP76" i="36" s="1"/>
  <c r="AP53" i="36"/>
  <c r="AP85" i="36"/>
  <c r="AP78" i="36"/>
  <c r="AP92" i="36"/>
  <c r="AP86" i="36"/>
  <c r="AP79" i="36"/>
  <c r="AP55" i="36"/>
  <c r="AP96" i="36"/>
  <c r="AP80" i="36"/>
  <c r="AP49" i="36"/>
  <c r="AP81" i="36"/>
  <c r="AP50" i="36"/>
  <c r="AP83" i="36"/>
  <c r="AP47" i="36"/>
  <c r="AP87" i="36"/>
  <c r="AP48" i="36"/>
  <c r="AP82" i="36"/>
  <c r="AP54" i="36"/>
  <c r="AP43" i="36"/>
  <c r="AP41" i="36"/>
  <c r="AP26" i="36"/>
  <c r="AP27" i="36"/>
  <c r="AP25" i="36"/>
  <c r="AP38" i="36"/>
  <c r="AP22" i="36"/>
  <c r="AP24" i="36"/>
  <c r="AP40" i="36"/>
  <c r="AP23" i="36"/>
  <c r="AP46" i="36"/>
  <c r="AP42" i="36"/>
  <c r="AO65" i="36"/>
  <c r="AO252" i="36"/>
  <c r="AO44" i="36"/>
  <c r="AO31" i="36"/>
  <c r="AO101" i="36"/>
  <c r="AR11" i="29"/>
  <c r="AQ13" i="29"/>
  <c r="AR7" i="29"/>
  <c r="AS5" i="29"/>
  <c r="AO30" i="36" l="1"/>
  <c r="AO35" i="36" s="1"/>
  <c r="AO103" i="36" s="1"/>
  <c r="AP90" i="36"/>
  <c r="AP29" i="36"/>
  <c r="AP252" i="36"/>
  <c r="AP56" i="36"/>
  <c r="AP44" i="36"/>
  <c r="AP31" i="36"/>
  <c r="AP28" i="36"/>
  <c r="AP65" i="36"/>
  <c r="AQ251" i="36"/>
  <c r="AQ250" i="36"/>
  <c r="AQ249" i="36"/>
  <c r="AQ98" i="36"/>
  <c r="AQ99" i="36"/>
  <c r="AQ100" i="36"/>
  <c r="AQ93" i="36"/>
  <c r="AQ95" i="36"/>
  <c r="AQ96" i="36"/>
  <c r="AQ92" i="36"/>
  <c r="AQ88" i="36"/>
  <c r="AQ67" i="36"/>
  <c r="AQ76" i="36" s="1"/>
  <c r="AQ89" i="36"/>
  <c r="AQ85" i="36"/>
  <c r="AQ78" i="36"/>
  <c r="AQ54" i="36"/>
  <c r="AQ97" i="36"/>
  <c r="AQ86" i="36"/>
  <c r="AQ79" i="36"/>
  <c r="AQ80" i="36"/>
  <c r="AQ81" i="36"/>
  <c r="AQ50" i="36"/>
  <c r="AQ87" i="36"/>
  <c r="AQ82" i="36"/>
  <c r="AQ83" i="36"/>
  <c r="AQ47" i="36"/>
  <c r="AQ41" i="36"/>
  <c r="AQ48" i="36"/>
  <c r="AQ42" i="36"/>
  <c r="AQ94" i="36"/>
  <c r="AQ84" i="36"/>
  <c r="AQ55" i="36"/>
  <c r="AQ53" i="36"/>
  <c r="AQ49" i="36"/>
  <c r="AQ46" i="36"/>
  <c r="AQ27" i="36"/>
  <c r="AQ38" i="36"/>
  <c r="AQ25" i="36"/>
  <c r="AQ43" i="36"/>
  <c r="AQ26" i="36"/>
  <c r="AQ22" i="36"/>
  <c r="AQ40" i="36"/>
  <c r="AQ23" i="36"/>
  <c r="AQ24" i="36"/>
  <c r="AQ29" i="36" s="1"/>
  <c r="AP51" i="36"/>
  <c r="AP101" i="36"/>
  <c r="AT5" i="29"/>
  <c r="AS7" i="29"/>
  <c r="AR13" i="29"/>
  <c r="AS11" i="29"/>
  <c r="AQ90" i="36" l="1"/>
  <c r="AP30" i="36"/>
  <c r="AP35" i="36" s="1"/>
  <c r="AP103" i="36" s="1"/>
  <c r="AQ44" i="36"/>
  <c r="AQ51" i="36"/>
  <c r="AQ101" i="36"/>
  <c r="AR251" i="36"/>
  <c r="BC251" i="36" s="1"/>
  <c r="AR250" i="36"/>
  <c r="BC250" i="36" s="1"/>
  <c r="AR249" i="36"/>
  <c r="AR99" i="36"/>
  <c r="AR100" i="36"/>
  <c r="AR94" i="36"/>
  <c r="AR85" i="36"/>
  <c r="AR97" i="36"/>
  <c r="AR86" i="36"/>
  <c r="AR96" i="36"/>
  <c r="AR92" i="36"/>
  <c r="BC92" i="36" s="1"/>
  <c r="AR88" i="36"/>
  <c r="BC88" i="36" s="1"/>
  <c r="AR93" i="36"/>
  <c r="AR89" i="36"/>
  <c r="BC89" i="36" s="1"/>
  <c r="AR78" i="36"/>
  <c r="AR79" i="36"/>
  <c r="AR55" i="36"/>
  <c r="BC55" i="36" s="1"/>
  <c r="AR80" i="36"/>
  <c r="AR81" i="36"/>
  <c r="BC81" i="36" s="1"/>
  <c r="AR98" i="36"/>
  <c r="AR95" i="36"/>
  <c r="AR87" i="36"/>
  <c r="AR82" i="36"/>
  <c r="AR83" i="36"/>
  <c r="AR48" i="36"/>
  <c r="BC48" i="36" s="1"/>
  <c r="AR42" i="36"/>
  <c r="AR43" i="36"/>
  <c r="AR84" i="36"/>
  <c r="AR67" i="36"/>
  <c r="AR76" i="36" s="1"/>
  <c r="AR54" i="36"/>
  <c r="AR53" i="36"/>
  <c r="AR49" i="36"/>
  <c r="AR46" i="36"/>
  <c r="AR47" i="36"/>
  <c r="AR38" i="36"/>
  <c r="AR26" i="36"/>
  <c r="AR41" i="36"/>
  <c r="AR22" i="36"/>
  <c r="AR40" i="36"/>
  <c r="BC40" i="36" s="1"/>
  <c r="AR23" i="36"/>
  <c r="BC23" i="36" s="1"/>
  <c r="AR24" i="36"/>
  <c r="AR29" i="36" s="1"/>
  <c r="BC29" i="36" s="1"/>
  <c r="AR27" i="36"/>
  <c r="AR25" i="36"/>
  <c r="AR50" i="36"/>
  <c r="BC50" i="36" s="1"/>
  <c r="AQ56" i="36"/>
  <c r="AQ31" i="36"/>
  <c r="AQ65" i="36"/>
  <c r="AQ28" i="36"/>
  <c r="AQ30" i="36" s="1"/>
  <c r="AQ252" i="36"/>
  <c r="AS13" i="29"/>
  <c r="AT11" i="29"/>
  <c r="AT7" i="29"/>
  <c r="AU5" i="29"/>
  <c r="AU7" i="29" s="1"/>
  <c r="AR90" i="36" l="1"/>
  <c r="BC24" i="36"/>
  <c r="AR56" i="36"/>
  <c r="AR252" i="36"/>
  <c r="BC249" i="36"/>
  <c r="AQ35" i="36"/>
  <c r="AQ103" i="36" s="1"/>
  <c r="AR28" i="36"/>
  <c r="AS251" i="36"/>
  <c r="AS250" i="36"/>
  <c r="AS249" i="36"/>
  <c r="AS100" i="36"/>
  <c r="AS97" i="36"/>
  <c r="AS95" i="36"/>
  <c r="AS99" i="36"/>
  <c r="AS86" i="36"/>
  <c r="AS87" i="36"/>
  <c r="AS89" i="36"/>
  <c r="AS98" i="36"/>
  <c r="AS93" i="36"/>
  <c r="AS85" i="36"/>
  <c r="AS79" i="36"/>
  <c r="AS80" i="36"/>
  <c r="AS49" i="36"/>
  <c r="AS92" i="36"/>
  <c r="AS81" i="36"/>
  <c r="AS96" i="36"/>
  <c r="AS82" i="36"/>
  <c r="AS83" i="36"/>
  <c r="AS84" i="36"/>
  <c r="AS43" i="36"/>
  <c r="AS94" i="36"/>
  <c r="AS88" i="36"/>
  <c r="AS67" i="36"/>
  <c r="AS76" i="36" s="1"/>
  <c r="AS54" i="36"/>
  <c r="AS53" i="36"/>
  <c r="AS55" i="36"/>
  <c r="AS46" i="36"/>
  <c r="AS50" i="36"/>
  <c r="AS47" i="36"/>
  <c r="AS42" i="36"/>
  <c r="AS27" i="36"/>
  <c r="AS38" i="36"/>
  <c r="AS48" i="36"/>
  <c r="AS22" i="36"/>
  <c r="AS40" i="36"/>
  <c r="AS23" i="36"/>
  <c r="AS41" i="36"/>
  <c r="AS24" i="36"/>
  <c r="AS25" i="36"/>
  <c r="AS78" i="36"/>
  <c r="AS26" i="36"/>
  <c r="AR51" i="36"/>
  <c r="AR44" i="36"/>
  <c r="AR31" i="36"/>
  <c r="BC31" i="36" s="1"/>
  <c r="AR101" i="36"/>
  <c r="AR65" i="36"/>
  <c r="AT13" i="29"/>
  <c r="AU11" i="29"/>
  <c r="AS90" i="36" l="1"/>
  <c r="AS29" i="36"/>
  <c r="AR30" i="36"/>
  <c r="AR35" i="36" s="1"/>
  <c r="AR103" i="36" s="1"/>
  <c r="BC28" i="36"/>
  <c r="AS28" i="36"/>
  <c r="AS44" i="36"/>
  <c r="AS31" i="36"/>
  <c r="AS51" i="36"/>
  <c r="AS101" i="36"/>
  <c r="AS252" i="36"/>
  <c r="AT250" i="36"/>
  <c r="AT249" i="36"/>
  <c r="AT251" i="36"/>
  <c r="AT97" i="36"/>
  <c r="AT98" i="36"/>
  <c r="AT85" i="36"/>
  <c r="AT87" i="36"/>
  <c r="AT96" i="36"/>
  <c r="AT92" i="36"/>
  <c r="BD92" i="36" s="1"/>
  <c r="AT88" i="36"/>
  <c r="AT100" i="36"/>
  <c r="AT93" i="36"/>
  <c r="AT94" i="36"/>
  <c r="AT80" i="36"/>
  <c r="AT86" i="36"/>
  <c r="AT81" i="36"/>
  <c r="AT50" i="36"/>
  <c r="AT82" i="36"/>
  <c r="AT95" i="36"/>
  <c r="AT83" i="36"/>
  <c r="AT84" i="36"/>
  <c r="AT67" i="36"/>
  <c r="AT76" i="36" s="1"/>
  <c r="AT53" i="36"/>
  <c r="AT99" i="36"/>
  <c r="AT79" i="36"/>
  <c r="AT54" i="36"/>
  <c r="AT89" i="36"/>
  <c r="AT55" i="36"/>
  <c r="AT46" i="36"/>
  <c r="AT49" i="36"/>
  <c r="AT40" i="36"/>
  <c r="AT47" i="36"/>
  <c r="AT41" i="36"/>
  <c r="AT78" i="36"/>
  <c r="AT48" i="36"/>
  <c r="AT22" i="36"/>
  <c r="AT23" i="36"/>
  <c r="AT24" i="36"/>
  <c r="AT29" i="36" s="1"/>
  <c r="AT38" i="36"/>
  <c r="AT25" i="36"/>
  <c r="AT26" i="36"/>
  <c r="AT42" i="36"/>
  <c r="AT27" i="36"/>
  <c r="AT43" i="36"/>
  <c r="AS56" i="36"/>
  <c r="AS65" i="36"/>
  <c r="AU13" i="29"/>
  <c r="AT90" i="36" l="1"/>
  <c r="AS30" i="36"/>
  <c r="AS35" i="36" s="1"/>
  <c r="AS103" i="36" s="1"/>
  <c r="AW92" i="36"/>
  <c r="AX92" i="36"/>
  <c r="AY92" i="36"/>
  <c r="BA92" i="36"/>
  <c r="BG92" i="36" s="1"/>
  <c r="AY252" i="36"/>
  <c r="AY185" i="36" s="1"/>
  <c r="AY186" i="36" s="1"/>
  <c r="AT51" i="36"/>
  <c r="BH252" i="36"/>
  <c r="BH185" i="36" s="1"/>
  <c r="AT31" i="36"/>
  <c r="BC65" i="36"/>
  <c r="BB65" i="36"/>
  <c r="AW252" i="36"/>
  <c r="AW185" i="36" s="1"/>
  <c r="BI252" i="36"/>
  <c r="BI185" i="36" s="1"/>
  <c r="AT65" i="36"/>
  <c r="AT28" i="36"/>
  <c r="AT30" i="36" s="1"/>
  <c r="AZ252" i="36"/>
  <c r="AZ185" i="36" s="1"/>
  <c r="AZ186" i="36" s="1"/>
  <c r="AX252" i="36"/>
  <c r="AX185" i="36" s="1"/>
  <c r="AX186" i="36" s="1"/>
  <c r="AT44" i="36"/>
  <c r="AT252" i="36"/>
  <c r="BB252" i="36"/>
  <c r="BB185" i="36" s="1"/>
  <c r="BB186" i="36" s="1"/>
  <c r="BA65" i="36"/>
  <c r="BA252" i="36"/>
  <c r="BA185" i="36" s="1"/>
  <c r="BA186" i="36" s="1"/>
  <c r="AZ65" i="36"/>
  <c r="AU249" i="36"/>
  <c r="AU250" i="36"/>
  <c r="AU251" i="36"/>
  <c r="BD251" i="36" s="1"/>
  <c r="AU97" i="36"/>
  <c r="AU98" i="36"/>
  <c r="AU99" i="36"/>
  <c r="BD99" i="36" s="1"/>
  <c r="AU86" i="36"/>
  <c r="BD86" i="36" s="1"/>
  <c r="AU96" i="36"/>
  <c r="BD96" i="36" s="1"/>
  <c r="AU88" i="36"/>
  <c r="BD88" i="36" s="1"/>
  <c r="AU89" i="36"/>
  <c r="AU94" i="36"/>
  <c r="BD94" i="36" s="1"/>
  <c r="AU95" i="36"/>
  <c r="AU100" i="36"/>
  <c r="AU81" i="36"/>
  <c r="BD81" i="36" s="1"/>
  <c r="BG81" i="36" s="1"/>
  <c r="AU82" i="36"/>
  <c r="BD82" i="36" s="1"/>
  <c r="AU83" i="36"/>
  <c r="BD83" i="36" s="1"/>
  <c r="AU87" i="36"/>
  <c r="AU84" i="36"/>
  <c r="AU67" i="36"/>
  <c r="AU76" i="36" s="1"/>
  <c r="AU53" i="36"/>
  <c r="BD53" i="36" s="1"/>
  <c r="AU78" i="36"/>
  <c r="AU54" i="36"/>
  <c r="AU93" i="36"/>
  <c r="BD93" i="36" s="1"/>
  <c r="AU79" i="36"/>
  <c r="AU85" i="36"/>
  <c r="AU55" i="36"/>
  <c r="AU46" i="36"/>
  <c r="AU49" i="36"/>
  <c r="BD49" i="36" s="1"/>
  <c r="AU47" i="36"/>
  <c r="AU41" i="36"/>
  <c r="AU80" i="36"/>
  <c r="BD80" i="36" s="1"/>
  <c r="AU50" i="36"/>
  <c r="BD50" i="36" s="1"/>
  <c r="AU48" i="36"/>
  <c r="BD48" i="36" s="1"/>
  <c r="AU42" i="36"/>
  <c r="AU23" i="36"/>
  <c r="BD23" i="36" s="1"/>
  <c r="AU40" i="36"/>
  <c r="AU24" i="36"/>
  <c r="BD24" i="36" s="1"/>
  <c r="AU25" i="36"/>
  <c r="AU26" i="36"/>
  <c r="BD26" i="36" s="1"/>
  <c r="AU27" i="36"/>
  <c r="BD27" i="36" s="1"/>
  <c r="AU43" i="36"/>
  <c r="AU38" i="36"/>
  <c r="AU22" i="36"/>
  <c r="BD22" i="36" s="1"/>
  <c r="AT56" i="36"/>
  <c r="AT101" i="36"/>
  <c r="BC252" i="36"/>
  <c r="BC185" i="36" s="1"/>
  <c r="BC186" i="36" s="1"/>
  <c r="BJ252" i="36"/>
  <c r="BJ185" i="36" s="1"/>
  <c r="AW65" i="36"/>
  <c r="AY65" i="36"/>
  <c r="AX65" i="36"/>
  <c r="AU90" i="36" l="1"/>
  <c r="BF24" i="36"/>
  <c r="BG24" i="36"/>
  <c r="AW47" i="36"/>
  <c r="AX47" i="36"/>
  <c r="AY47" i="36"/>
  <c r="BA47" i="36"/>
  <c r="BB47" i="36"/>
  <c r="BC47" i="36"/>
  <c r="AW78" i="36"/>
  <c r="AX78" i="36"/>
  <c r="AY78" i="36"/>
  <c r="AZ78" i="36"/>
  <c r="BA78" i="36"/>
  <c r="BC78" i="36"/>
  <c r="BD78" i="36"/>
  <c r="AW100" i="36"/>
  <c r="AY100" i="36"/>
  <c r="AZ100" i="36"/>
  <c r="BA100" i="36"/>
  <c r="BB100" i="36"/>
  <c r="BC100" i="36"/>
  <c r="BD100" i="36"/>
  <c r="AW98" i="36"/>
  <c r="AX98" i="36"/>
  <c r="AZ98" i="36"/>
  <c r="BA98" i="36"/>
  <c r="BC98" i="36"/>
  <c r="BD47" i="36"/>
  <c r="AW25" i="36"/>
  <c r="AY25" i="36"/>
  <c r="AZ25" i="36"/>
  <c r="BB25" i="36"/>
  <c r="BC25" i="36"/>
  <c r="AW54" i="36"/>
  <c r="AZ54" i="36"/>
  <c r="BA54" i="36"/>
  <c r="BB54" i="36"/>
  <c r="BC54" i="36"/>
  <c r="AX81" i="36"/>
  <c r="AY81" i="36"/>
  <c r="AW49" i="36"/>
  <c r="AY49" i="36"/>
  <c r="AZ49" i="36"/>
  <c r="BA49" i="36"/>
  <c r="BB49" i="36"/>
  <c r="BC49" i="36"/>
  <c r="AW95" i="36"/>
  <c r="AX95" i="36"/>
  <c r="AY95" i="36"/>
  <c r="BA95" i="36"/>
  <c r="BB95" i="36"/>
  <c r="BC95" i="36"/>
  <c r="AW97" i="36"/>
  <c r="AX97" i="36"/>
  <c r="AY97" i="36"/>
  <c r="AZ97" i="36"/>
  <c r="BA97" i="36"/>
  <c r="BB97" i="36"/>
  <c r="BC97" i="36"/>
  <c r="AW41" i="36"/>
  <c r="AX41" i="36"/>
  <c r="AZ41" i="36"/>
  <c r="BA41" i="36"/>
  <c r="BB41" i="36"/>
  <c r="BC41" i="36"/>
  <c r="AW99" i="36"/>
  <c r="AX99" i="36"/>
  <c r="AY99" i="36"/>
  <c r="BA99" i="36"/>
  <c r="BB99" i="36"/>
  <c r="BC99" i="36"/>
  <c r="BF92" i="36"/>
  <c r="BD54" i="36"/>
  <c r="BD97" i="36"/>
  <c r="AW46" i="36"/>
  <c r="AX46" i="36"/>
  <c r="AY46" i="36"/>
  <c r="BA46" i="36"/>
  <c r="BB46" i="36"/>
  <c r="BC46" i="36"/>
  <c r="AW67" i="36"/>
  <c r="AW76" i="36" s="1"/>
  <c r="AX67" i="36"/>
  <c r="AX76" i="36" s="1"/>
  <c r="AY67" i="36"/>
  <c r="AY76" i="36" s="1"/>
  <c r="AZ67" i="36"/>
  <c r="AZ76" i="36" s="1"/>
  <c r="BA67" i="36"/>
  <c r="BA76" i="36" s="1"/>
  <c r="BB67" i="36"/>
  <c r="BB76" i="36" s="1"/>
  <c r="BC67" i="36"/>
  <c r="BC76" i="36" s="1"/>
  <c r="AX42" i="36"/>
  <c r="AY42" i="36"/>
  <c r="AZ42" i="36"/>
  <c r="BB42" i="36"/>
  <c r="BC42" i="36"/>
  <c r="AW84" i="36"/>
  <c r="AX84" i="36"/>
  <c r="AZ84" i="36"/>
  <c r="BB84" i="36"/>
  <c r="BC84" i="36"/>
  <c r="AX89" i="36"/>
  <c r="AY89" i="36"/>
  <c r="AZ89" i="36"/>
  <c r="BA89" i="36"/>
  <c r="BB89" i="36"/>
  <c r="BD84" i="36"/>
  <c r="BD42" i="36"/>
  <c r="AW40" i="36"/>
  <c r="AX40" i="36"/>
  <c r="AY40" i="36"/>
  <c r="AZ40" i="36"/>
  <c r="BA40" i="36"/>
  <c r="BB40" i="36"/>
  <c r="BD40" i="36"/>
  <c r="AW23" i="36"/>
  <c r="AX23" i="36"/>
  <c r="AY23" i="36"/>
  <c r="AZ23" i="36"/>
  <c r="BA23" i="36"/>
  <c r="AW94" i="36"/>
  <c r="AX94" i="36"/>
  <c r="AZ94" i="36"/>
  <c r="BA94" i="36"/>
  <c r="BB94" i="36"/>
  <c r="BC94" i="36"/>
  <c r="AW38" i="36"/>
  <c r="AX38" i="36"/>
  <c r="AY38" i="36"/>
  <c r="BA38" i="36"/>
  <c r="BB38" i="36"/>
  <c r="BC38" i="36"/>
  <c r="AW55" i="36"/>
  <c r="AX55" i="36"/>
  <c r="AX56" i="36" s="1"/>
  <c r="AZ55" i="36"/>
  <c r="BB55" i="36"/>
  <c r="AZ43" i="36"/>
  <c r="BA43" i="36"/>
  <c r="BC43" i="36"/>
  <c r="AW48" i="36"/>
  <c r="AY48" i="36"/>
  <c r="AZ48" i="36"/>
  <c r="BA48" i="36"/>
  <c r="BB48" i="36"/>
  <c r="AX85" i="36"/>
  <c r="AZ85" i="36"/>
  <c r="BA85" i="36"/>
  <c r="BB85" i="36"/>
  <c r="BC85" i="36"/>
  <c r="BD85" i="36"/>
  <c r="AW87" i="36"/>
  <c r="AX87" i="36"/>
  <c r="AY87" i="36"/>
  <c r="AZ87" i="36"/>
  <c r="BA87" i="36"/>
  <c r="BC87" i="36"/>
  <c r="BD87" i="36"/>
  <c r="AW88" i="36"/>
  <c r="AZ88" i="36"/>
  <c r="BA88" i="36"/>
  <c r="BB88" i="36"/>
  <c r="BD38" i="36"/>
  <c r="BD43" i="36"/>
  <c r="AW22" i="36"/>
  <c r="AX22" i="36"/>
  <c r="AY22" i="36"/>
  <c r="AZ22" i="36"/>
  <c r="BC22" i="36"/>
  <c r="AW27" i="36"/>
  <c r="AX27" i="36"/>
  <c r="AZ27" i="36"/>
  <c r="BB27" i="36"/>
  <c r="BC27" i="36"/>
  <c r="AW50" i="36"/>
  <c r="AX50" i="36"/>
  <c r="AY50" i="36"/>
  <c r="AZ50" i="36"/>
  <c r="BA50" i="36"/>
  <c r="BB50" i="36"/>
  <c r="AW79" i="36"/>
  <c r="AX79" i="36"/>
  <c r="AZ79" i="36"/>
  <c r="BB79" i="36"/>
  <c r="BC79" i="36"/>
  <c r="AW83" i="36"/>
  <c r="AX83" i="36"/>
  <c r="BB83" i="36"/>
  <c r="BC83" i="36"/>
  <c r="AX96" i="36"/>
  <c r="AY96" i="36"/>
  <c r="AZ96" i="36"/>
  <c r="BC96" i="36"/>
  <c r="BG96" i="36" s="1"/>
  <c r="BD25" i="36"/>
  <c r="BD79" i="36"/>
  <c r="BD95" i="36"/>
  <c r="BD55" i="36"/>
  <c r="AW53" i="36"/>
  <c r="AY53" i="36"/>
  <c r="AY56" i="36" s="1"/>
  <c r="AZ53" i="36"/>
  <c r="AZ56" i="36" s="1"/>
  <c r="BA53" i="36"/>
  <c r="BB53" i="36"/>
  <c r="BB56" i="36" s="1"/>
  <c r="BC53" i="36"/>
  <c r="BC56" i="36" s="1"/>
  <c r="AW26" i="36"/>
  <c r="AX26" i="36"/>
  <c r="AZ26" i="36"/>
  <c r="BA26" i="36"/>
  <c r="BB26" i="36"/>
  <c r="BC26" i="36"/>
  <c r="AW80" i="36"/>
  <c r="AX80" i="36"/>
  <c r="AZ80" i="36"/>
  <c r="BA80" i="36"/>
  <c r="BC80" i="36"/>
  <c r="AW93" i="36"/>
  <c r="AX93" i="36"/>
  <c r="AY93" i="36"/>
  <c r="AZ93" i="36"/>
  <c r="BA93" i="36"/>
  <c r="BC93" i="36"/>
  <c r="AW82" i="36"/>
  <c r="AX82" i="36"/>
  <c r="AY82" i="36"/>
  <c r="BC82" i="36"/>
  <c r="BG82" i="36" s="1"/>
  <c r="AW86" i="36"/>
  <c r="AX86" i="36"/>
  <c r="AZ86" i="36"/>
  <c r="BA86" i="36"/>
  <c r="BB86" i="36"/>
  <c r="BC86" i="36"/>
  <c r="BD67" i="36"/>
  <c r="BD76" i="36" s="1"/>
  <c r="BD98" i="36"/>
  <c r="BD41" i="36"/>
  <c r="BD89" i="36"/>
  <c r="BD46" i="36"/>
  <c r="BF249" i="36"/>
  <c r="BG249" i="36"/>
  <c r="BD249" i="36"/>
  <c r="BF250" i="36"/>
  <c r="BG250" i="36"/>
  <c r="BF251" i="36"/>
  <c r="BG251" i="36"/>
  <c r="BD250" i="36"/>
  <c r="BI186" i="36"/>
  <c r="O85" i="33" s="1"/>
  <c r="O84" i="33"/>
  <c r="BH186" i="36"/>
  <c r="N85" i="33" s="1"/>
  <c r="N84" i="33"/>
  <c r="BJ186" i="36"/>
  <c r="P85" i="33" s="1"/>
  <c r="P84" i="33"/>
  <c r="AT35" i="36"/>
  <c r="AT103" i="36" s="1"/>
  <c r="AU44" i="36"/>
  <c r="AU252" i="36"/>
  <c r="AU56" i="36"/>
  <c r="AU101" i="36"/>
  <c r="AU31" i="36"/>
  <c r="AU65" i="36"/>
  <c r="AU29" i="36"/>
  <c r="BD29" i="36" s="1"/>
  <c r="BF65" i="36"/>
  <c r="AU28" i="36"/>
  <c r="AU51" i="36"/>
  <c r="AW186" i="36"/>
  <c r="AW153" i="36"/>
  <c r="BC90" i="36" l="1"/>
  <c r="AY44" i="36"/>
  <c r="BG42" i="36"/>
  <c r="AY30" i="36"/>
  <c r="BG48" i="36"/>
  <c r="BC51" i="36"/>
  <c r="BG55" i="36"/>
  <c r="BB101" i="36"/>
  <c r="BC101" i="36"/>
  <c r="BA90" i="36"/>
  <c r="AZ90" i="36"/>
  <c r="BB90" i="36"/>
  <c r="AY90" i="36"/>
  <c r="AX90" i="36"/>
  <c r="AW90" i="36"/>
  <c r="BD90" i="36"/>
  <c r="AY101" i="36"/>
  <c r="BG100" i="36"/>
  <c r="BF47" i="36"/>
  <c r="BF84" i="36"/>
  <c r="BG93" i="36"/>
  <c r="BG83" i="36"/>
  <c r="BF43" i="36"/>
  <c r="BG87" i="36"/>
  <c r="BG84" i="36"/>
  <c r="BF81" i="36"/>
  <c r="BD56" i="36"/>
  <c r="BG26" i="36"/>
  <c r="BF87" i="36"/>
  <c r="BF38" i="36"/>
  <c r="BG27" i="36"/>
  <c r="BF42" i="36"/>
  <c r="BG85" i="36"/>
  <c r="BG88" i="36"/>
  <c r="BF41" i="36"/>
  <c r="BF89" i="36"/>
  <c r="BF99" i="36"/>
  <c r="BF82" i="36"/>
  <c r="BG80" i="36"/>
  <c r="BF96" i="36"/>
  <c r="BF78" i="36"/>
  <c r="AW28" i="36"/>
  <c r="AW30" i="36" s="1"/>
  <c r="AX28" i="36"/>
  <c r="AX30" i="36" s="1"/>
  <c r="AZ28" i="36"/>
  <c r="AZ30" i="36" s="1"/>
  <c r="AW31" i="36"/>
  <c r="AX31" i="36"/>
  <c r="AY31" i="36"/>
  <c r="BA31" i="36"/>
  <c r="BB31" i="36"/>
  <c r="AZ101" i="36"/>
  <c r="BF80" i="36"/>
  <c r="BG79" i="36"/>
  <c r="BG50" i="36"/>
  <c r="BG43" i="36"/>
  <c r="BG38" i="36"/>
  <c r="BB44" i="36"/>
  <c r="BD28" i="36"/>
  <c r="BG28" i="36" s="1"/>
  <c r="BB51" i="36"/>
  <c r="BG41" i="36"/>
  <c r="BF95" i="36"/>
  <c r="BB30" i="36"/>
  <c r="BF100" i="36"/>
  <c r="BF86" i="36"/>
  <c r="BG53" i="36"/>
  <c r="BA56" i="36"/>
  <c r="BG25" i="36"/>
  <c r="BF83" i="36"/>
  <c r="BF27" i="36"/>
  <c r="BF85" i="36"/>
  <c r="BF94" i="36"/>
  <c r="BG40" i="36"/>
  <c r="BA44" i="36"/>
  <c r="BG46" i="36"/>
  <c r="BA51" i="36"/>
  <c r="BF98" i="36"/>
  <c r="BA101" i="36"/>
  <c r="AX101" i="36"/>
  <c r="BC30" i="36"/>
  <c r="BC35" i="36" s="1"/>
  <c r="BG23" i="36"/>
  <c r="BA30" i="36"/>
  <c r="AZ44" i="36"/>
  <c r="BG89" i="36"/>
  <c r="BG67" i="36"/>
  <c r="BG76" i="36" s="1"/>
  <c r="AY51" i="36"/>
  <c r="BG99" i="36"/>
  <c r="BF97" i="36"/>
  <c r="BG47" i="36"/>
  <c r="BF93" i="36"/>
  <c r="AW101" i="36"/>
  <c r="AX51" i="36"/>
  <c r="BG49" i="36"/>
  <c r="BF25" i="36"/>
  <c r="BG78" i="36"/>
  <c r="BF53" i="36"/>
  <c r="AW56" i="36"/>
  <c r="BF50" i="36"/>
  <c r="BF88" i="36"/>
  <c r="AZ51" i="36"/>
  <c r="AX44" i="36"/>
  <c r="BF46" i="36"/>
  <c r="AW51" i="36"/>
  <c r="BG54" i="36"/>
  <c r="BG22" i="36"/>
  <c r="BF55" i="36"/>
  <c r="BF40" i="36"/>
  <c r="AW44" i="36"/>
  <c r="BG95" i="36"/>
  <c r="BD31" i="36"/>
  <c r="BF29" i="36"/>
  <c r="BG29" i="36"/>
  <c r="BG86" i="36"/>
  <c r="BF26" i="36"/>
  <c r="BF79" i="36"/>
  <c r="BF22" i="36"/>
  <c r="BF48" i="36"/>
  <c r="BG94" i="36"/>
  <c r="BF23" i="36"/>
  <c r="BF67" i="36"/>
  <c r="BF76" i="36" s="1"/>
  <c r="BC44" i="36"/>
  <c r="BG97" i="36"/>
  <c r="BF49" i="36"/>
  <c r="BF54" i="36"/>
  <c r="BG98" i="36"/>
  <c r="BF252" i="36"/>
  <c r="BF185" i="36" s="1"/>
  <c r="L84" i="33" s="1"/>
  <c r="BD101" i="36"/>
  <c r="AX153" i="36"/>
  <c r="AU30" i="36"/>
  <c r="AU35" i="36" s="1"/>
  <c r="AU103" i="36" s="1"/>
  <c r="BD51" i="36"/>
  <c r="BD252" i="36"/>
  <c r="BD185" i="36" s="1"/>
  <c r="BD186" i="36" s="1"/>
  <c r="BG252" i="36"/>
  <c r="BG185" i="36" s="1"/>
  <c r="BD65" i="36"/>
  <c r="BG65" i="36"/>
  <c r="BD44" i="36"/>
  <c r="BC103" i="36" l="1"/>
  <c r="BD30" i="36"/>
  <c r="BD35" i="36" s="1"/>
  <c r="BB35" i="36"/>
  <c r="BB103" i="36" s="1"/>
  <c r="BF90" i="36"/>
  <c r="BG90" i="36"/>
  <c r="BH90" i="36" s="1"/>
  <c r="BG51" i="36"/>
  <c r="BH51" i="36" s="1"/>
  <c r="BI51" i="36" s="1"/>
  <c r="BJ51" i="36" s="1"/>
  <c r="BF44" i="36"/>
  <c r="BF28" i="36"/>
  <c r="BF30" i="36" s="1"/>
  <c r="BG101" i="36"/>
  <c r="BH101" i="36" s="1"/>
  <c r="BI101" i="36" s="1"/>
  <c r="BJ101" i="36" s="1"/>
  <c r="BG30" i="36"/>
  <c r="BH30" i="36" s="1"/>
  <c r="BI30" i="36" s="1"/>
  <c r="BG44" i="36"/>
  <c r="BH44" i="36" s="1"/>
  <c r="BI44" i="36" s="1"/>
  <c r="BJ44" i="36" s="1"/>
  <c r="BF101" i="36"/>
  <c r="BF31" i="36"/>
  <c r="BF51" i="36"/>
  <c r="BF56" i="36"/>
  <c r="BG56" i="36"/>
  <c r="BH56" i="36" s="1"/>
  <c r="BI56" i="36" s="1"/>
  <c r="BJ56" i="36" s="1"/>
  <c r="BC218" i="36"/>
  <c r="BG31" i="36"/>
  <c r="BH31" i="36" s="1"/>
  <c r="BI31" i="36" s="1"/>
  <c r="BJ31" i="36" s="1"/>
  <c r="BF153" i="36"/>
  <c r="BG153" i="36" s="1"/>
  <c r="BF186" i="36"/>
  <c r="L85" i="33" s="1"/>
  <c r="BG186" i="36"/>
  <c r="M85" i="33" s="1"/>
  <c r="M84" i="33"/>
  <c r="AY153" i="36"/>
  <c r="BB218" i="36" l="1"/>
  <c r="BD218" i="36"/>
  <c r="BD103" i="36"/>
  <c r="BD217" i="36" s="1"/>
  <c r="BI90" i="36"/>
  <c r="BB217" i="36"/>
  <c r="BB105" i="36"/>
  <c r="BB121" i="36" s="1"/>
  <c r="BC217" i="36"/>
  <c r="BC105" i="36"/>
  <c r="BC121" i="36" s="1"/>
  <c r="BH35" i="36"/>
  <c r="BH103" i="36" s="1"/>
  <c r="AZ153" i="36"/>
  <c r="BI35" i="36"/>
  <c r="BJ30" i="36"/>
  <c r="BJ35" i="36" s="1"/>
  <c r="BH153" i="36"/>
  <c r="BJ90" i="36" l="1"/>
  <c r="BJ103" i="36" s="1"/>
  <c r="BI103" i="36"/>
  <c r="BD105" i="36"/>
  <c r="BD121" i="36" s="1"/>
  <c r="BH218" i="36"/>
  <c r="BC239" i="36"/>
  <c r="BC238" i="36"/>
  <c r="BB239" i="36"/>
  <c r="BB238" i="36"/>
  <c r="BI153" i="36"/>
  <c r="BI218" i="36"/>
  <c r="BH217" i="36"/>
  <c r="BH105" i="36"/>
  <c r="N34" i="33"/>
  <c r="BA153" i="36"/>
  <c r="BD239" i="36"/>
  <c r="BG239" i="36" s="1"/>
  <c r="BD238" i="36"/>
  <c r="AW46" i="29"/>
  <c r="BJ218" i="36" l="1"/>
  <c r="BC246" i="36"/>
  <c r="BC146" i="36"/>
  <c r="BC241" i="36"/>
  <c r="BB241" i="36"/>
  <c r="BB146" i="36"/>
  <c r="BB246" i="36"/>
  <c r="BH121" i="36"/>
  <c r="N35" i="33"/>
  <c r="N44" i="33" s="1"/>
  <c r="BH239" i="36"/>
  <c r="BH238" i="36"/>
  <c r="BD246" i="36"/>
  <c r="BG238" i="36"/>
  <c r="BD146" i="36"/>
  <c r="BD241" i="36"/>
  <c r="BJ153" i="36"/>
  <c r="BB153" i="36"/>
  <c r="BJ217" i="36"/>
  <c r="BJ105" i="36"/>
  <c r="P34" i="33"/>
  <c r="BI217" i="36"/>
  <c r="BI105" i="36"/>
  <c r="O34" i="33"/>
  <c r="AW61" i="29"/>
  <c r="AW132" i="29" s="1"/>
  <c r="AW134" i="29" s="1"/>
  <c r="AW139" i="29" s="1"/>
  <c r="BC242" i="36" l="1"/>
  <c r="BC150" i="36"/>
  <c r="BC175" i="36"/>
  <c r="BC177" i="36" s="1"/>
  <c r="BB150" i="36"/>
  <c r="BD242" i="36"/>
  <c r="AW145" i="29"/>
  <c r="BF145" i="29" s="1"/>
  <c r="AW140" i="29"/>
  <c r="AW144" i="29"/>
  <c r="BH246" i="36"/>
  <c r="BH146" i="36"/>
  <c r="N62" i="33" s="1"/>
  <c r="BH241" i="36"/>
  <c r="BJ121" i="36"/>
  <c r="P35" i="33"/>
  <c r="P44" i="33" s="1"/>
  <c r="BJ239" i="36"/>
  <c r="BJ238" i="36"/>
  <c r="BC153" i="36"/>
  <c r="BD150" i="36"/>
  <c r="BD175" i="36"/>
  <c r="BD177" i="36" s="1"/>
  <c r="BI121" i="36"/>
  <c r="O35" i="33"/>
  <c r="O44" i="33" s="1"/>
  <c r="BI239" i="36"/>
  <c r="BI238" i="36"/>
  <c r="BG146" i="36"/>
  <c r="M62" i="33" s="1"/>
  <c r="BG241" i="36"/>
  <c r="AW146" i="29" l="1"/>
  <c r="BF146" i="29" s="1"/>
  <c r="BG150" i="36"/>
  <c r="M66" i="33" s="1"/>
  <c r="BH242" i="36"/>
  <c r="BI246" i="36"/>
  <c r="BI146" i="36"/>
  <c r="O62" i="33" s="1"/>
  <c r="BI241" i="36"/>
  <c r="BI242" i="36" s="1"/>
  <c r="BD153" i="36"/>
  <c r="BH175" i="36"/>
  <c r="BH177" i="36" s="1"/>
  <c r="N77" i="33" s="1"/>
  <c r="BH150" i="36"/>
  <c r="N66" i="33" s="1"/>
  <c r="BJ246" i="36"/>
  <c r="BJ146" i="36"/>
  <c r="P62" i="33" s="1"/>
  <c r="BJ241" i="36"/>
  <c r="BF144" i="29"/>
  <c r="BJ242" i="36" l="1"/>
  <c r="BI175" i="36"/>
  <c r="BI177" i="36" s="1"/>
  <c r="O77" i="33" s="1"/>
  <c r="BI150" i="36"/>
  <c r="O66" i="33" s="1"/>
  <c r="BJ175" i="36"/>
  <c r="BJ177" i="36" s="1"/>
  <c r="P77" i="33" s="1"/>
  <c r="BJ150" i="36"/>
  <c r="P66" i="33" s="1"/>
  <c r="N30" i="30" l="1"/>
  <c r="M29" i="30"/>
  <c r="M38" i="30"/>
  <c r="M43" i="30" s="1"/>
  <c r="N39" i="30"/>
  <c r="BF88" i="29" s="1"/>
  <c r="R29" i="30"/>
  <c r="M47" i="30" l="1"/>
  <c r="M52" i="30" s="1"/>
  <c r="Q30" i="30"/>
  <c r="P30" i="30"/>
  <c r="O30" i="30"/>
  <c r="BF79" i="29"/>
  <c r="N48" i="30"/>
  <c r="BF97" i="29" s="1"/>
  <c r="R30" i="30"/>
  <c r="R39" i="30"/>
  <c r="BJ88" i="29" s="1"/>
  <c r="P39" i="30"/>
  <c r="BH88" i="29" s="1"/>
  <c r="BJ78" i="29"/>
  <c r="R38" i="30"/>
  <c r="P38" i="30"/>
  <c r="O38" i="30"/>
  <c r="N38" i="30"/>
  <c r="P29" i="30"/>
  <c r="M34" i="30"/>
  <c r="Q29" i="30"/>
  <c r="O29" i="30"/>
  <c r="Q38" i="30"/>
  <c r="N29" i="30"/>
  <c r="R34" i="30" l="1"/>
  <c r="O39" i="30"/>
  <c r="BG88" i="29" s="1"/>
  <c r="Q39" i="30"/>
  <c r="BI88" i="29" s="1"/>
  <c r="BG87" i="29"/>
  <c r="N34" i="30"/>
  <c r="N47" i="30"/>
  <c r="BF78" i="29"/>
  <c r="BF82" i="29" s="1"/>
  <c r="BG79" i="29"/>
  <c r="P43" i="30"/>
  <c r="BH87" i="29"/>
  <c r="BH91" i="29" s="1"/>
  <c r="BJ87" i="29"/>
  <c r="N43" i="30"/>
  <c r="BF87" i="29"/>
  <c r="BF91" i="29" s="1"/>
  <c r="BH79" i="29"/>
  <c r="P48" i="30"/>
  <c r="BH97" i="29" s="1"/>
  <c r="Q34" i="30"/>
  <c r="Q47" i="30"/>
  <c r="BI78" i="29"/>
  <c r="R48" i="30"/>
  <c r="BJ97" i="29" s="1"/>
  <c r="BJ79" i="29"/>
  <c r="BJ82" i="29" s="1"/>
  <c r="BH78" i="29"/>
  <c r="P34" i="30"/>
  <c r="P47" i="30"/>
  <c r="BI87" i="29"/>
  <c r="O47" i="30"/>
  <c r="O34" i="30"/>
  <c r="BG78" i="29"/>
  <c r="R47" i="30"/>
  <c r="BI79" i="29"/>
  <c r="Q48" i="30"/>
  <c r="BI97" i="29" s="1"/>
  <c r="Q43" i="30" l="1"/>
  <c r="O43" i="30"/>
  <c r="O48" i="30"/>
  <c r="BG97" i="29" s="1"/>
  <c r="R43" i="30"/>
  <c r="BI91" i="29"/>
  <c r="BI92" i="29" s="1"/>
  <c r="O25" i="33" s="1"/>
  <c r="BI82" i="29"/>
  <c r="O19" i="33" s="1"/>
  <c r="BJ91" i="29"/>
  <c r="BJ92" i="29" s="1"/>
  <c r="P25" i="33" s="1"/>
  <c r="BG91" i="29"/>
  <c r="N52" i="30"/>
  <c r="BF96" i="29"/>
  <c r="BF100" i="29" s="1"/>
  <c r="BG96" i="29"/>
  <c r="P19" i="33"/>
  <c r="BJ83" i="29"/>
  <c r="P24" i="33" s="1"/>
  <c r="P52" i="30"/>
  <c r="BH96" i="29"/>
  <c r="BH100" i="29" s="1"/>
  <c r="BJ96" i="29"/>
  <c r="BJ100" i="29" s="1"/>
  <c r="L20" i="33"/>
  <c r="BH92" i="29"/>
  <c r="N25" i="33" s="1"/>
  <c r="N20" i="33"/>
  <c r="BH82" i="29"/>
  <c r="Q52" i="30"/>
  <c r="BI96" i="29"/>
  <c r="BI100" i="29" s="1"/>
  <c r="BF83" i="29"/>
  <c r="L24" i="33" s="1"/>
  <c r="L19" i="33"/>
  <c r="BG82" i="29"/>
  <c r="R52" i="30" l="1"/>
  <c r="BI83" i="29"/>
  <c r="O24" i="33" s="1"/>
  <c r="P20" i="33"/>
  <c r="O52" i="30"/>
  <c r="O20" i="33"/>
  <c r="M20" i="33"/>
  <c r="BG100" i="29"/>
  <c r="L21" i="33"/>
  <c r="BG83" i="29"/>
  <c r="M24" i="33" s="1"/>
  <c r="M19" i="33"/>
  <c r="BH101" i="29"/>
  <c r="N26" i="33" s="1"/>
  <c r="N21" i="33"/>
  <c r="BH83" i="29"/>
  <c r="N24" i="33" s="1"/>
  <c r="N19" i="33"/>
  <c r="BJ101" i="29"/>
  <c r="P26" i="33" s="1"/>
  <c r="P21" i="33"/>
  <c r="BI101" i="29"/>
  <c r="O26" i="33" s="1"/>
  <c r="O21" i="33"/>
  <c r="M21" i="33" l="1"/>
  <c r="AW50" i="29"/>
  <c r="AW51" i="29" s="1"/>
  <c r="AX50" i="29"/>
  <c r="AX51" i="29" s="1"/>
  <c r="AX56" i="29" s="1"/>
  <c r="AY50" i="29"/>
  <c r="AY51" i="29" s="1"/>
  <c r="AY56" i="29" s="1"/>
  <c r="AZ50" i="29"/>
  <c r="AZ51" i="29" s="1"/>
  <c r="AZ56" i="29" s="1"/>
  <c r="BA50" i="29"/>
  <c r="BA51" i="29" s="1"/>
  <c r="BG51" i="29" s="1"/>
  <c r="AY66" i="29" l="1"/>
  <c r="AZ71" i="29"/>
  <c r="AZ118" i="36" s="1"/>
  <c r="M15" i="33"/>
  <c r="BG50" i="29"/>
  <c r="BG49" i="29"/>
  <c r="BA66" i="29"/>
  <c r="AY71" i="29"/>
  <c r="AY118" i="36" s="1"/>
  <c r="AZ66" i="29"/>
  <c r="AX71" i="29"/>
  <c r="AX118" i="36" s="1"/>
  <c r="BF51" i="29"/>
  <c r="AW56" i="29"/>
  <c r="AW66" i="29"/>
  <c r="BG92" i="29"/>
  <c r="M25" i="33" s="1"/>
  <c r="AX66" i="29"/>
  <c r="BA56" i="29"/>
  <c r="AY65" i="29" l="1"/>
  <c r="AY64" i="29" s="1"/>
  <c r="AY118" i="29"/>
  <c r="AY120" i="29" s="1"/>
  <c r="AY17" i="36" s="1"/>
  <c r="AY216" i="36" s="1"/>
  <c r="AY235" i="36" s="1"/>
  <c r="BF66" i="29"/>
  <c r="AW118" i="29"/>
  <c r="AW71" i="29"/>
  <c r="AW118" i="36" s="1"/>
  <c r="BF56" i="29"/>
  <c r="BF50" i="29"/>
  <c r="BF49" i="29"/>
  <c r="L15" i="33"/>
  <c r="BF92" i="29"/>
  <c r="L25" i="33" s="1"/>
  <c r="AX16" i="36"/>
  <c r="AX70" i="29"/>
  <c r="AX69" i="29" s="1"/>
  <c r="AX117" i="36"/>
  <c r="AX150" i="29"/>
  <c r="AX151" i="29" s="1"/>
  <c r="AX153" i="29" s="1"/>
  <c r="BA65" i="29"/>
  <c r="BA64" i="29" s="1"/>
  <c r="BG66" i="29"/>
  <c r="BA118" i="29"/>
  <c r="BG56" i="29"/>
  <c r="BA71" i="29"/>
  <c r="BA118" i="36" s="1"/>
  <c r="AZ65" i="29"/>
  <c r="AZ64" i="29" s="1"/>
  <c r="AZ118" i="29"/>
  <c r="AZ120" i="29" s="1"/>
  <c r="AZ17" i="36" s="1"/>
  <c r="AZ216" i="36" s="1"/>
  <c r="AZ235" i="36" s="1"/>
  <c r="AX118" i="29"/>
  <c r="AX120" i="29" s="1"/>
  <c r="AX17" i="36" s="1"/>
  <c r="AX216" i="36" s="1"/>
  <c r="AX235" i="36" s="1"/>
  <c r="AX65" i="29"/>
  <c r="AX64" i="29" s="1"/>
  <c r="AY16" i="36"/>
  <c r="AY70" i="29"/>
  <c r="AY69" i="29" s="1"/>
  <c r="AY117" i="36"/>
  <c r="AY150" i="29"/>
  <c r="AY151" i="29" s="1"/>
  <c r="AY153" i="29" s="1"/>
  <c r="AZ16" i="36"/>
  <c r="AZ117" i="36"/>
  <c r="AZ70" i="29"/>
  <c r="AZ69" i="29" s="1"/>
  <c r="AZ150" i="29"/>
  <c r="AZ151" i="29" s="1"/>
  <c r="AZ153" i="29" s="1"/>
  <c r="AY134" i="36" l="1"/>
  <c r="AY245" i="36"/>
  <c r="AX134" i="36"/>
  <c r="AX245" i="36"/>
  <c r="BC116" i="36"/>
  <c r="AY18" i="36"/>
  <c r="AY215" i="36"/>
  <c r="M16" i="33"/>
  <c r="BG65" i="29"/>
  <c r="BG64" i="29" s="1"/>
  <c r="BG101" i="29"/>
  <c r="M26" i="33" s="1"/>
  <c r="BD116" i="36"/>
  <c r="AZ18" i="36"/>
  <c r="AZ215" i="36"/>
  <c r="BF235" i="36"/>
  <c r="AZ134" i="36"/>
  <c r="AZ245" i="36"/>
  <c r="AX154" i="29"/>
  <c r="AX157" i="29" s="1"/>
  <c r="AX33" i="36" s="1"/>
  <c r="AX35" i="36" s="1"/>
  <c r="AY154" i="29"/>
  <c r="AY157" i="29" s="1"/>
  <c r="AY33" i="36" s="1"/>
  <c r="AY35" i="36" s="1"/>
  <c r="BA117" i="36"/>
  <c r="BA16" i="36"/>
  <c r="BA70" i="29"/>
  <c r="BA69" i="29" s="1"/>
  <c r="BA150" i="29"/>
  <c r="BG71" i="29"/>
  <c r="BG118" i="36" s="1"/>
  <c r="AW16" i="36"/>
  <c r="AW70" i="29"/>
  <c r="AW117" i="36"/>
  <c r="AW150" i="29"/>
  <c r="BF71" i="29"/>
  <c r="BF118" i="36" s="1"/>
  <c r="AX18" i="36"/>
  <c r="AX215" i="36"/>
  <c r="BB116" i="36"/>
  <c r="AZ154" i="29"/>
  <c r="AZ157" i="29" s="1"/>
  <c r="AZ33" i="36" s="1"/>
  <c r="AZ35" i="36" s="1"/>
  <c r="AW120" i="29"/>
  <c r="AW17" i="36" s="1"/>
  <c r="BF118" i="29"/>
  <c r="BF120" i="29" s="1"/>
  <c r="BG118" i="29"/>
  <c r="BG120" i="29" s="1"/>
  <c r="BA120" i="29"/>
  <c r="BA17" i="36" s="1"/>
  <c r="L16" i="33"/>
  <c r="BF65" i="29"/>
  <c r="BF64" i="29" s="1"/>
  <c r="BF101" i="29"/>
  <c r="L26" i="33" s="1"/>
  <c r="AY174" i="36" l="1"/>
  <c r="AW216" i="36"/>
  <c r="AW235" i="36" s="1"/>
  <c r="BF17" i="36"/>
  <c r="BA215" i="36"/>
  <c r="BA18" i="36"/>
  <c r="BA116" i="36"/>
  <c r="BG16" i="36"/>
  <c r="BF134" i="36"/>
  <c r="AZ218" i="36"/>
  <c r="AZ103" i="36"/>
  <c r="AZ217" i="36" s="1"/>
  <c r="AY234" i="36"/>
  <c r="AY233" i="36"/>
  <c r="AZ174" i="36"/>
  <c r="AY218" i="36"/>
  <c r="AY103" i="36"/>
  <c r="AY217" i="36" s="1"/>
  <c r="AZ234" i="36"/>
  <c r="BF234" i="36" s="1"/>
  <c r="AZ233" i="36"/>
  <c r="AZ120" i="36"/>
  <c r="AY120" i="36"/>
  <c r="BF117" i="36"/>
  <c r="BF70" i="29"/>
  <c r="BF69" i="29" s="1"/>
  <c r="AW151" i="29"/>
  <c r="AW153" i="29" s="1"/>
  <c r="BF150" i="29"/>
  <c r="BF151" i="29" s="1"/>
  <c r="BF153" i="29" s="1"/>
  <c r="AX233" i="36"/>
  <c r="AX234" i="36"/>
  <c r="AW122" i="29"/>
  <c r="AW215" i="36"/>
  <c r="BF16" i="36"/>
  <c r="AW18" i="36"/>
  <c r="BG117" i="36"/>
  <c r="BG70" i="29"/>
  <c r="BG69" i="29" s="1"/>
  <c r="BG17" i="36"/>
  <c r="BA216" i="36"/>
  <c r="BA235" i="36" s="1"/>
  <c r="AX218" i="36"/>
  <c r="AX103" i="36"/>
  <c r="AX217" i="36" s="1"/>
  <c r="AX120" i="36"/>
  <c r="BA151" i="29"/>
  <c r="BA153" i="29" s="1"/>
  <c r="BG150" i="29"/>
  <c r="BG151" i="29" s="1"/>
  <c r="BG153" i="29" s="1"/>
  <c r="AZ105" i="36" l="1"/>
  <c r="AX105" i="36"/>
  <c r="AX121" i="36" s="1"/>
  <c r="AY105" i="36"/>
  <c r="AY121" i="36" s="1"/>
  <c r="BA134" i="36"/>
  <c r="BA245" i="36"/>
  <c r="AW123" i="29"/>
  <c r="BF174" i="36"/>
  <c r="BG174" i="36"/>
  <c r="L56" i="33"/>
  <c r="BG154" i="29"/>
  <c r="BG157" i="29" s="1"/>
  <c r="M30" i="33"/>
  <c r="BG116" i="36"/>
  <c r="BG215" i="36"/>
  <c r="BG244" i="36" s="1"/>
  <c r="BH116" i="36"/>
  <c r="BG18" i="36"/>
  <c r="BF154" i="29"/>
  <c r="BF157" i="29" s="1"/>
  <c r="AZ121" i="36"/>
  <c r="AY132" i="36"/>
  <c r="AY244" i="36"/>
  <c r="BA154" i="29"/>
  <c r="BA157" i="29" s="1"/>
  <c r="BA33" i="36" s="1"/>
  <c r="AW154" i="29"/>
  <c r="AW157" i="29" s="1"/>
  <c r="AW33" i="36" s="1"/>
  <c r="BA120" i="36"/>
  <c r="AX132" i="36"/>
  <c r="AX244" i="36"/>
  <c r="AW120" i="36"/>
  <c r="AW125" i="29"/>
  <c r="AZ132" i="36"/>
  <c r="BF233" i="36"/>
  <c r="AZ244" i="36"/>
  <c r="AZ239" i="36"/>
  <c r="BF239" i="36" s="1"/>
  <c r="AZ238" i="36"/>
  <c r="BA234" i="36"/>
  <c r="BA233" i="36"/>
  <c r="BG216" i="36"/>
  <c r="BG245" i="36" s="1"/>
  <c r="M31" i="33"/>
  <c r="BF215" i="36"/>
  <c r="BF18" i="36"/>
  <c r="L30" i="33"/>
  <c r="BF216" i="36"/>
  <c r="BF245" i="36" s="1"/>
  <c r="L31" i="33"/>
  <c r="AX239" i="36"/>
  <c r="AX238" i="36"/>
  <c r="AW233" i="36"/>
  <c r="AW234" i="36"/>
  <c r="AY239" i="36"/>
  <c r="AY238" i="36"/>
  <c r="AW134" i="36"/>
  <c r="AW245" i="36"/>
  <c r="AY241" i="36" l="1"/>
  <c r="AZ172" i="36"/>
  <c r="AZ241" i="36"/>
  <c r="BA35" i="36"/>
  <c r="BG33" i="36"/>
  <c r="BG35" i="36" s="1"/>
  <c r="AW126" i="29"/>
  <c r="AW132" i="36"/>
  <c r="AW244" i="36"/>
  <c r="BG120" i="36"/>
  <c r="M32" i="33"/>
  <c r="M43" i="33" s="1"/>
  <c r="AX146" i="36"/>
  <c r="AX246" i="36"/>
  <c r="AY172" i="36"/>
  <c r="AZ146" i="36"/>
  <c r="AZ246" i="36"/>
  <c r="BF238" i="36"/>
  <c r="BF241" i="36" s="1"/>
  <c r="BG242" i="36" s="1"/>
  <c r="M42" i="33"/>
  <c r="N42" i="33"/>
  <c r="AX122" i="29"/>
  <c r="BF33" i="36"/>
  <c r="BF35" i="36" s="1"/>
  <c r="AW35" i="36"/>
  <c r="BA132" i="36"/>
  <c r="BB172" i="36" s="1"/>
  <c r="BA244" i="36"/>
  <c r="AW174" i="36"/>
  <c r="AX174" i="36"/>
  <c r="AY146" i="36"/>
  <c r="AY246" i="36"/>
  <c r="L32" i="33"/>
  <c r="L43" i="33" s="1"/>
  <c r="BF120" i="36"/>
  <c r="BF132" i="36"/>
  <c r="BF244" i="36"/>
  <c r="AX241" i="36"/>
  <c r="BB174" i="36"/>
  <c r="BA174" i="36"/>
  <c r="AZ242" i="36" l="1"/>
  <c r="BF103" i="36"/>
  <c r="BF218" i="36"/>
  <c r="AX123" i="29"/>
  <c r="AW172" i="36"/>
  <c r="AX172" i="36"/>
  <c r="AX150" i="36"/>
  <c r="AW128" i="29"/>
  <c r="AW107" i="36" s="1"/>
  <c r="AX125" i="29"/>
  <c r="AX126" i="29" s="1"/>
  <c r="AY150" i="36"/>
  <c r="AY175" i="36"/>
  <c r="AY177" i="36" s="1"/>
  <c r="BF172" i="36"/>
  <c r="L54" i="33"/>
  <c r="BG172" i="36"/>
  <c r="BG103" i="36"/>
  <c r="BG218" i="36"/>
  <c r="BA103" i="36"/>
  <c r="BA218" i="36"/>
  <c r="BF146" i="36"/>
  <c r="AW218" i="36"/>
  <c r="AW103" i="36"/>
  <c r="AZ175" i="36"/>
  <c r="AZ177" i="36" s="1"/>
  <c r="AZ150" i="36"/>
  <c r="BA172" i="36"/>
  <c r="AY242" i="36"/>
  <c r="AW217" i="36" l="1"/>
  <c r="AW105" i="36"/>
  <c r="BF150" i="36"/>
  <c r="L66" i="33" s="1"/>
  <c r="BF175" i="36"/>
  <c r="BF177" i="36" s="1"/>
  <c r="BG175" i="36"/>
  <c r="BG177" i="36" s="1"/>
  <c r="L62" i="33"/>
  <c r="AY122" i="29"/>
  <c r="AY123" i="29" s="1"/>
  <c r="AX128" i="29"/>
  <c r="AX107" i="36" s="1"/>
  <c r="AX108" i="36" s="1"/>
  <c r="AY125" i="29"/>
  <c r="AY126" i="29" s="1"/>
  <c r="BA217" i="36"/>
  <c r="BA105" i="36"/>
  <c r="BG217" i="36"/>
  <c r="BG246" i="36" s="1"/>
  <c r="M34" i="33"/>
  <c r="BG105" i="36"/>
  <c r="L34" i="33"/>
  <c r="BF217" i="36"/>
  <c r="BF246" i="36" s="1"/>
  <c r="BF105" i="36"/>
  <c r="AX110" i="36" l="1"/>
  <c r="AX112" i="36" s="1"/>
  <c r="L77" i="33"/>
  <c r="M77" i="33"/>
  <c r="AY128" i="29"/>
  <c r="AY107" i="36" s="1"/>
  <c r="AY108" i="36" s="1"/>
  <c r="AZ125" i="29"/>
  <c r="BF125" i="29" s="1"/>
  <c r="BF126" i="29" s="1"/>
  <c r="M35" i="33"/>
  <c r="M44" i="33" s="1"/>
  <c r="BG121" i="36"/>
  <c r="BF121" i="36"/>
  <c r="L35" i="33"/>
  <c r="L44" i="33" s="1"/>
  <c r="AZ122" i="29"/>
  <c r="AZ123" i="29" s="1"/>
  <c r="BA121" i="36"/>
  <c r="AW121" i="36"/>
  <c r="AW108" i="36"/>
  <c r="BA239" i="36"/>
  <c r="BA238" i="36"/>
  <c r="AW239" i="36"/>
  <c r="AW238" i="36"/>
  <c r="BA122" i="29" l="1"/>
  <c r="AX122" i="36"/>
  <c r="AX169" i="36"/>
  <c r="AW110" i="36"/>
  <c r="AY110" i="36"/>
  <c r="AY112" i="36" s="1"/>
  <c r="AW146" i="36"/>
  <c r="AW246" i="36"/>
  <c r="AW241" i="36"/>
  <c r="AX242" i="36" s="1"/>
  <c r="BA146" i="36"/>
  <c r="BA246" i="36"/>
  <c r="BA241" i="36"/>
  <c r="AZ126" i="29"/>
  <c r="AY122" i="36" l="1"/>
  <c r="AY169" i="36"/>
  <c r="AY179" i="36" s="1"/>
  <c r="AY188" i="36" s="1"/>
  <c r="BB242" i="36"/>
  <c r="BA242" i="36"/>
  <c r="BA175" i="36"/>
  <c r="BA177" i="36" s="1"/>
  <c r="BA150" i="36"/>
  <c r="BB175" i="36"/>
  <c r="BB177" i="36" s="1"/>
  <c r="AW112" i="36"/>
  <c r="AW175" i="36"/>
  <c r="AW177" i="36" s="1"/>
  <c r="AW150" i="36"/>
  <c r="AX175" i="36"/>
  <c r="AX177" i="36" s="1"/>
  <c r="AX179" i="36" s="1"/>
  <c r="AX188" i="36" s="1"/>
  <c r="AZ128" i="29"/>
  <c r="AZ107" i="36" s="1"/>
  <c r="BA125" i="29"/>
  <c r="BA123" i="29"/>
  <c r="AZ108" i="36" l="1"/>
  <c r="BF107" i="36"/>
  <c r="BF108" i="36" s="1"/>
  <c r="BA126" i="29"/>
  <c r="AW122" i="36"/>
  <c r="AW169" i="36"/>
  <c r="AW155" i="36" s="1"/>
  <c r="BB122" i="29"/>
  <c r="BB123" i="29" s="1"/>
  <c r="AW179" i="36" l="1"/>
  <c r="AW188" i="36" s="1"/>
  <c r="AW190" i="36" s="1"/>
  <c r="BB125" i="29"/>
  <c r="BB126" i="29" s="1"/>
  <c r="BA128" i="29"/>
  <c r="BA107" i="36" s="1"/>
  <c r="BC122" i="29"/>
  <c r="BC123" i="29" s="1"/>
  <c r="AZ110" i="36"/>
  <c r="BF110" i="36" s="1"/>
  <c r="L37" i="33" s="1"/>
  <c r="AW156" i="36"/>
  <c r="AW157" i="36" s="1"/>
  <c r="AX155" i="36"/>
  <c r="AX156" i="36" l="1"/>
  <c r="AX157" i="36" s="1"/>
  <c r="AY155" i="36"/>
  <c r="BD122" i="29"/>
  <c r="BF112" i="36"/>
  <c r="BA108" i="36"/>
  <c r="BC125" i="29"/>
  <c r="BC126" i="29" s="1"/>
  <c r="BB128" i="29"/>
  <c r="BB107" i="36" s="1"/>
  <c r="BB108" i="36" s="1"/>
  <c r="AZ112" i="36"/>
  <c r="AW131" i="36"/>
  <c r="AW135" i="36" s="1"/>
  <c r="AW143" i="36" s="1"/>
  <c r="AW159" i="36" s="1"/>
  <c r="AX189" i="36"/>
  <c r="AX190" i="36" s="1"/>
  <c r="AW192" i="36" l="1"/>
  <c r="BD125" i="29"/>
  <c r="BG125" i="29" s="1"/>
  <c r="BG126" i="29" s="1"/>
  <c r="BC128" i="29"/>
  <c r="BC107" i="36" s="1"/>
  <c r="BC108" i="36" s="1"/>
  <c r="AY189" i="36"/>
  <c r="AY190" i="36" s="1"/>
  <c r="AX131" i="36"/>
  <c r="AX135" i="36" s="1"/>
  <c r="AX143" i="36" s="1"/>
  <c r="AX159" i="36" s="1"/>
  <c r="AZ122" i="36"/>
  <c r="AZ169" i="36"/>
  <c r="AZ179" i="36" s="1"/>
  <c r="AZ188" i="36" s="1"/>
  <c r="BF122" i="36"/>
  <c r="BF169" i="36"/>
  <c r="L38" i="33"/>
  <c r="L45" i="33" s="1"/>
  <c r="BA110" i="36"/>
  <c r="BA112" i="36" s="1"/>
  <c r="BF122" i="29"/>
  <c r="BF123" i="29" s="1"/>
  <c r="BG122" i="29"/>
  <c r="BD123" i="29"/>
  <c r="BB110" i="36"/>
  <c r="BB112" i="36" s="1"/>
  <c r="AY156" i="36"/>
  <c r="AY157" i="36" s="1"/>
  <c r="BD126" i="29" l="1"/>
  <c r="BD128" i="29" s="1"/>
  <c r="BD107" i="36" s="1"/>
  <c r="BD108" i="36" s="1"/>
  <c r="AZ155" i="36"/>
  <c r="AZ156" i="36" s="1"/>
  <c r="AZ157" i="36" s="1"/>
  <c r="BB122" i="36"/>
  <c r="BB169" i="36"/>
  <c r="BB179" i="36" s="1"/>
  <c r="BB188" i="36" s="1"/>
  <c r="BG123" i="29"/>
  <c r="BG128" i="29" s="1"/>
  <c r="BF128" i="29"/>
  <c r="BA122" i="36"/>
  <c r="BA169" i="36"/>
  <c r="BA179" i="36" s="1"/>
  <c r="BA188" i="36" s="1"/>
  <c r="AX192" i="36"/>
  <c r="AZ189" i="36"/>
  <c r="AZ190" i="36" s="1"/>
  <c r="AY131" i="36"/>
  <c r="AY135" i="36" s="1"/>
  <c r="AY143" i="36" s="1"/>
  <c r="AY159" i="36" s="1"/>
  <c r="L76" i="33"/>
  <c r="BF155" i="36"/>
  <c r="BF179" i="36"/>
  <c r="BC110" i="36"/>
  <c r="BC112" i="36" s="1"/>
  <c r="BH125" i="29"/>
  <c r="BH126" i="29" s="1"/>
  <c r="BI125" i="29" l="1"/>
  <c r="BI126" i="29" s="1"/>
  <c r="BF188" i="36"/>
  <c r="BF190" i="36" s="1"/>
  <c r="L78" i="33"/>
  <c r="BF156" i="36"/>
  <c r="AZ131" i="36"/>
  <c r="AZ135" i="36" s="1"/>
  <c r="AZ143" i="36" s="1"/>
  <c r="AZ159" i="36" s="1"/>
  <c r="BA189" i="36"/>
  <c r="BA190" i="36" s="1"/>
  <c r="BH122" i="29"/>
  <c r="BH123" i="29" s="1"/>
  <c r="BH128" i="29" s="1"/>
  <c r="BH107" i="36" s="1"/>
  <c r="BH108" i="36" s="1"/>
  <c r="BA155" i="36"/>
  <c r="BG107" i="36"/>
  <c r="BG108" i="36" s="1"/>
  <c r="BC122" i="36"/>
  <c r="BC169" i="36"/>
  <c r="BC179" i="36" s="1"/>
  <c r="BC188" i="36" s="1"/>
  <c r="AY192" i="36"/>
  <c r="BD110" i="36"/>
  <c r="BG110" i="36" s="1"/>
  <c r="M37" i="33" s="1"/>
  <c r="BG112" i="36" l="1"/>
  <c r="BG122" i="36" s="1"/>
  <c r="AZ192" i="36"/>
  <c r="BH110" i="36"/>
  <c r="N37" i="33" s="1"/>
  <c r="BJ125" i="29"/>
  <c r="BJ126" i="29" s="1"/>
  <c r="L89" i="33"/>
  <c r="BF131" i="36"/>
  <c r="BF192" i="36" s="1"/>
  <c r="BG189" i="36"/>
  <c r="M88" i="33" s="1"/>
  <c r="BA131" i="36"/>
  <c r="BA135" i="36" s="1"/>
  <c r="BA143" i="36" s="1"/>
  <c r="BB189" i="36"/>
  <c r="BB190" i="36" s="1"/>
  <c r="BI122" i="29"/>
  <c r="BI123" i="29" s="1"/>
  <c r="BB155" i="36"/>
  <c r="BA156" i="36"/>
  <c r="BA157" i="36" s="1"/>
  <c r="L67" i="33"/>
  <c r="BF157" i="36"/>
  <c r="BD112" i="36"/>
  <c r="M38" i="33" l="1"/>
  <c r="M45" i="33" s="1"/>
  <c r="BG169" i="36"/>
  <c r="BG155" i="36" s="1"/>
  <c r="BA192" i="36"/>
  <c r="BA159" i="36"/>
  <c r="BJ122" i="29"/>
  <c r="BJ123" i="29" s="1"/>
  <c r="BJ128" i="29" s="1"/>
  <c r="BJ107" i="36" s="1"/>
  <c r="BJ108" i="36" s="1"/>
  <c r="BI128" i="29"/>
  <c r="BI107" i="36" s="1"/>
  <c r="BI108" i="36" s="1"/>
  <c r="M76" i="33"/>
  <c r="BD122" i="36"/>
  <c r="BD169" i="36"/>
  <c r="BD179" i="36" s="1"/>
  <c r="BD188" i="36" s="1"/>
  <c r="BB131" i="36"/>
  <c r="BB135" i="36" s="1"/>
  <c r="BB143" i="36" s="1"/>
  <c r="BC189" i="36"/>
  <c r="BC190" i="36" s="1"/>
  <c r="L68" i="33"/>
  <c r="BC155" i="36"/>
  <c r="BB156" i="36"/>
  <c r="BB157" i="36" s="1"/>
  <c r="BF135" i="36"/>
  <c r="L53" i="33"/>
  <c r="BH112" i="36"/>
  <c r="BG179" i="36" l="1"/>
  <c r="BG188" i="36" s="1"/>
  <c r="BG190" i="36" s="1"/>
  <c r="BB159" i="36"/>
  <c r="BB192" i="36"/>
  <c r="BJ110" i="36"/>
  <c r="P37" i="33" s="1"/>
  <c r="BD155" i="36"/>
  <c r="BD156" i="36" s="1"/>
  <c r="BD157" i="36" s="1"/>
  <c r="BC156" i="36"/>
  <c r="BC157" i="36" s="1"/>
  <c r="BG156" i="36"/>
  <c r="M78" i="33"/>
  <c r="BI110" i="36"/>
  <c r="O37" i="33" s="1"/>
  <c r="N38" i="33"/>
  <c r="N45" i="33" s="1"/>
  <c r="BH122" i="36"/>
  <c r="BH169" i="36"/>
  <c r="BH155" i="36" s="1"/>
  <c r="BC131" i="36"/>
  <c r="BC135" i="36" s="1"/>
  <c r="BC143" i="36" s="1"/>
  <c r="BD189" i="36"/>
  <c r="BD190" i="36" s="1"/>
  <c r="BF143" i="36"/>
  <c r="L57" i="33"/>
  <c r="BC192" i="36" l="1"/>
  <c r="BI112" i="36"/>
  <c r="O38" i="33" s="1"/>
  <c r="O45" i="33" s="1"/>
  <c r="BJ112" i="36"/>
  <c r="BJ169" i="36" s="1"/>
  <c r="BD131" i="36"/>
  <c r="BD135" i="36" s="1"/>
  <c r="BD143" i="36" s="1"/>
  <c r="BD159" i="36" s="1"/>
  <c r="BH156" i="36"/>
  <c r="M67" i="33"/>
  <c r="BG157" i="36"/>
  <c r="BC159" i="36"/>
  <c r="M89" i="33"/>
  <c r="BG131" i="36"/>
  <c r="BG192" i="36" s="1"/>
  <c r="BH189" i="36"/>
  <c r="N88" i="33" s="1"/>
  <c r="N76" i="33"/>
  <c r="BH179" i="36"/>
  <c r="P38" i="33"/>
  <c r="P45" i="33" s="1"/>
  <c r="BJ122" i="36"/>
  <c r="L59" i="33"/>
  <c r="BF159" i="36"/>
  <c r="BI169" i="36" l="1"/>
  <c r="BI155" i="36" s="1"/>
  <c r="BJ155" i="36" s="1"/>
  <c r="BJ156" i="36" s="1"/>
  <c r="BI122" i="36"/>
  <c r="BD192" i="36"/>
  <c r="BH157" i="36"/>
  <c r="N67" i="33"/>
  <c r="BG135" i="36"/>
  <c r="M53" i="33"/>
  <c r="BH188" i="36"/>
  <c r="BH190" i="36" s="1"/>
  <c r="N78" i="33"/>
  <c r="M68" i="33"/>
  <c r="BJ179" i="36"/>
  <c r="P76" i="33"/>
  <c r="BI156" i="36" l="1"/>
  <c r="BI157" i="36" s="1"/>
  <c r="O76" i="33"/>
  <c r="BI179" i="36"/>
  <c r="BI188" i="36" s="1"/>
  <c r="BJ188" i="36"/>
  <c r="P78" i="33"/>
  <c r="BG143" i="36"/>
  <c r="M57" i="33"/>
  <c r="N68" i="33"/>
  <c r="BI189" i="36"/>
  <c r="O88" i="33" s="1"/>
  <c r="N89" i="33"/>
  <c r="BH131" i="36"/>
  <c r="BJ157" i="36"/>
  <c r="P67" i="33"/>
  <c r="O78" i="33" l="1"/>
  <c r="O67" i="33"/>
  <c r="M59" i="33"/>
  <c r="BG159" i="36"/>
  <c r="P68" i="33"/>
  <c r="BH135" i="36"/>
  <c r="N53" i="33"/>
  <c r="BH192" i="36"/>
  <c r="O68" i="33"/>
  <c r="BI190" i="36"/>
  <c r="BH143" i="36" l="1"/>
  <c r="N57" i="33"/>
  <c r="BI131" i="36"/>
  <c r="BJ189" i="36"/>
  <c r="O89" i="33"/>
  <c r="BI135" i="36" l="1"/>
  <c r="O53" i="33"/>
  <c r="BI192" i="36"/>
  <c r="P88" i="33"/>
  <c r="BJ190" i="36"/>
  <c r="N59" i="33"/>
  <c r="BH159" i="36"/>
  <c r="BJ131" i="36" l="1"/>
  <c r="BJ192" i="36" s="1"/>
  <c r="P89" i="33"/>
  <c r="O57" i="33"/>
  <c r="BI143" i="36"/>
  <c r="O59" i="33" l="1"/>
  <c r="BI159" i="36"/>
  <c r="BJ135" i="36"/>
  <c r="P53" i="33"/>
  <c r="P57" i="33" l="1"/>
  <c r="BJ143" i="36"/>
  <c r="P59" i="33" l="1"/>
  <c r="BJ159" i="36"/>
  <c r="AW64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Josh Urquhart</author>
  </authors>
  <commentList>
    <comment ref="A1" authorId="0" shapeId="0" xr:uid="{76B4A47F-F4A3-4BF8-88BA-1AA00018DA22}">
      <text>
        <r>
          <rPr>
            <b/>
            <sz val="9"/>
            <color indexed="81"/>
            <rFont val="Tahoma"/>
            <family val="2"/>
          </rPr>
          <t>&lt;?xml version="1.0" encoding="utf-8"?&gt;&lt;Schema xmlns:xsi="http://www.w3.org/2001/XMLSchema-instance" xmlns:xsd="http://www.w3.org/2001/XMLSchema" Version="2" Timestamp="1695759890"&gt;&lt;FQL&gt;&lt;Q&gt;MMSI-US^FE_ESTIMATE(SALES,MEAN,ANN_ROLL,2022,NOW,,,'')&lt;/Q&gt;&lt;R&gt;1&lt;/R&gt;&lt;C&gt;1&lt;/C&gt;&lt;D xsi:type="xsd:double"&gt;1150.981&lt;/D&gt;&lt;/FQL&gt;&lt;FQL&gt;&lt;Q&gt;MMSI-US^FE_ESTIMATE(SALES,MEAN,ANN_ROLL,2021,NOW,,,'')&lt;/Q&gt;&lt;R&gt;1&lt;/R&gt;&lt;C&gt;1&lt;/C&gt;&lt;D xsi:type="xsd:double"&gt;1074.751&lt;/D&gt;&lt;/FQL&gt;&lt;FQL&gt;&lt;Q&gt;TFX-US^FE_ESTIMATE(SALES,MEAN,ANN_ROLL,2022,NOW,,,'')&lt;/Q&gt;&lt;R&gt;1&lt;/R&gt;&lt;C&gt;1&lt;/C&gt;&lt;D xsi:type="xsd:double"&gt;2791.041&lt;/D&gt;&lt;/FQL&gt;&lt;FQL&gt;&lt;Q&gt;TFX-US^FE_ESTIMATE(SALES,MEAN,ANN_ROLL,2021,NOW,,,'')&lt;/Q&gt;&lt;R&gt;1&lt;/R&gt;&lt;C&gt;1&lt;/C&gt;&lt;D xsi:type="xsd:double"&gt;2809.563&lt;/D&gt;&lt;/FQL&gt;&lt;FQL&gt;&lt;Q&gt;PEN-US^FE_ESTIMATE(SALES,MEAN,ANN_ROLL,2022,NOW,,,'')&lt;/Q&gt;&lt;R&gt;1&lt;/R&gt;&lt;C&gt;1&lt;/C&gt;&lt;D xsi:type="xsd:double"&gt;847.133&lt;/D&gt;&lt;/FQL&gt;&lt;FQL&gt;&lt;Q&gt;PEN-US^FE_ESTIMATE(SALES,MEAN,ANN_ROLL,2021,NOW,,,'')&lt;/Q&gt;&lt;R&gt;1&lt;/R&gt;&lt;C&gt;1&lt;/C&gt;&lt;D xsi:type="xsd:double"&gt;747.59&lt;/D&gt;&lt;/FQL&gt;&lt;FQL&gt;&lt;Q&gt;SEMHF-US^FE_ESTIMATE(SALES,MEAN,ANN_ROLL,2022,NOW,,,'')&lt;/Q&gt;&lt;R&gt;1&lt;/R&gt;&lt;C&gt;1&lt;/C&gt;&lt;D xsi:type="xsd:double"&gt;21714&lt;/D&gt;&lt;/FQL&gt;&lt;FQL&gt;&lt;Q&gt;SEMHF-US^FE_ESTIMATE(SALES,MEAN,ANN_ROLL,2021,NOW,,,'')&lt;/Q&gt;&lt;R&gt;1&lt;/R&gt;&lt;C&gt;1&lt;/C&gt;&lt;D xsi:type="xsd:double"&gt;17997&lt;/D&gt;&lt;/FQL&gt;&lt;FQL&gt;&lt;Q&gt;BSX-US^FE_ESTIMATE(SALES,MEAN,ANN_ROLL,2022,NOW,,,'')&lt;/Q&gt;&lt;R&gt;1&lt;/R&gt;&lt;C&gt;1&lt;/C&gt;&lt;D xsi:type="xsd:double"&gt;12682&lt;/D&gt;&lt;/FQL&gt;&lt;FQL&gt;&lt;Q&gt;BSX-US^FE_ESTIMATE(SALES,MEAN,ANN_ROLL,2021,NOW,,,'')&lt;/Q&gt;&lt;R&gt;1&lt;/R&gt;&lt;C&gt;1&lt;/C&gt;&lt;D xsi:type="xsd:double"&gt;11888&lt;/D&gt;&lt;/FQL&gt;&lt;FQL&gt;&lt;Q&gt;MDT-US^FE_ESTIMATE(SALES,MEAN,ANN_ROLL,2022,NOW,,,'')&lt;/Q&gt;&lt;R&gt;1&lt;/R&gt;&lt;C&gt;1&lt;/C&gt;&lt;D xsi:type="xsd:double"&gt;31227&lt;/D&gt;&lt;/FQL&gt;&lt;FQL&gt;&lt;Q&gt;MDT-US^FE_ESTIMATE(SALES,MEAN,ANN_ROLL,2021,NOW,,,'')&lt;/Q&gt;&lt;R&gt;1&lt;/R&gt;&lt;C&gt;1&lt;/C&gt;&lt;D xsi:type="xsd:double"&gt;31686&lt;/D&gt;&lt;/FQL&gt;&lt;FQL&gt;&lt;Q&gt;SYK-US^FE_ESTIMATE(SALES,MEAN,ANN_ROLL,2022,NOW,,,'')&lt;/Q&gt;&lt;R&gt;1&lt;/R&gt;&lt;C&gt;1&lt;/C&gt;&lt;D xsi:type="xsd:double"&gt;18449&lt;/D&gt;&lt;/FQL&gt;&lt;FQL&gt;&lt;Q&gt;SYK-US^FE_ESTIMATE(SALES,MEAN,ANN_ROLL,2021,NOW,,,'')&lt;/Q&gt;&lt;R&gt;1&lt;/R&gt;&lt;C&gt;1&lt;/C&gt;&lt;D xsi:type="xsd:double"&gt;17108&lt;/D&gt;&lt;/FQL&gt;&lt;/Schema&gt;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Michael Stewart</author>
    <author>tc={1F6259EF-5D1C-4800-8CBA-3C12E190CD07}</author>
  </authors>
  <commentList>
    <comment ref="C12" authorId="0" shapeId="0" xr:uid="{764E08C9-8C22-4C76-9EA2-CBAA593957B2}">
      <text>
        <r>
          <rPr>
            <b/>
            <sz val="10"/>
            <color rgb="FF000000"/>
            <rFont val="Tahoma"/>
            <family val="2"/>
          </rPr>
          <t>Michael Stewart: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$15,000 USD / kg</t>
        </r>
      </text>
    </comment>
    <comment ref="D12" authorId="1" shapeId="0" xr:uid="{1F6259EF-5D1C-4800-8CBA-3C12E190CD07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 May 22 quote
150 gm x $4.80/gm + 150 gm X $4.20/gm
</t>
      </text>
    </comment>
    <comment ref="H12" authorId="0" shapeId="0" xr:uid="{DD14CF3A-220E-4AB0-88E7-B284F0F7DCC9}">
      <text>
        <r>
          <rPr>
            <b/>
            <sz val="10"/>
            <color rgb="FF000000"/>
            <rFont val="Tahoma"/>
            <family val="2"/>
          </rPr>
          <t>Michael Stewart: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$15,000 USD / kg</t>
        </r>
      </text>
    </comment>
    <comment ref="I12" authorId="0" shapeId="0" xr:uid="{3452F6F1-A51D-4040-AEBC-446064585CA5}">
      <text>
        <r>
          <rPr>
            <b/>
            <sz val="10"/>
            <color rgb="FF000000"/>
            <rFont val="Tahoma"/>
            <family val="2"/>
          </rPr>
          <t>Michael Stewart: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Quote from Nomisma Healthcare India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$3700 USD / kg
</t>
        </r>
        <r>
          <rPr>
            <sz val="10"/>
            <color rgb="FF000000"/>
            <rFont val="Tahoma"/>
            <family val="2"/>
          </rPr>
          <t>40µm - 500 µm pellets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<sst xmlns="http://schemas.openxmlformats.org/spreadsheetml/2006/main" count="818" uniqueCount="482">
  <si>
    <t>US</t>
  </si>
  <si>
    <t>Gross Margin</t>
  </si>
  <si>
    <t>Total Expenses</t>
  </si>
  <si>
    <t>Canada</t>
  </si>
  <si>
    <t>Validation</t>
  </si>
  <si>
    <t>Insurance</t>
  </si>
  <si>
    <t>Evonik Royalty</t>
  </si>
  <si>
    <t>Paladin Royalty</t>
  </si>
  <si>
    <t>Benefits</t>
  </si>
  <si>
    <t>Intellectual Property</t>
  </si>
  <si>
    <t>Total</t>
  </si>
  <si>
    <t>Travel</t>
  </si>
  <si>
    <t>Net Income</t>
  </si>
  <si>
    <t>Canadian Sales</t>
  </si>
  <si>
    <t>Rent</t>
  </si>
  <si>
    <t>Bus Dev &amp; Marketing</t>
  </si>
  <si>
    <t>Corporate Legal Fees</t>
  </si>
  <si>
    <t>Lawyer Fees (contracts)</t>
  </si>
  <si>
    <t>Consulting</t>
  </si>
  <si>
    <t>Capital Costs</t>
  </si>
  <si>
    <t>Telephone</t>
  </si>
  <si>
    <t>Memberships &amp; Fees</t>
  </si>
  <si>
    <t>Office Misc</t>
  </si>
  <si>
    <t>-</t>
  </si>
  <si>
    <t>Tax prep/Taxes</t>
  </si>
  <si>
    <t>Public Company Costs</t>
  </si>
  <si>
    <t>Misc (PR Wire, etc)</t>
  </si>
  <si>
    <t xml:space="preserve"> </t>
  </si>
  <si>
    <t>Operating Expenses</t>
  </si>
  <si>
    <t>ImBio</t>
  </si>
  <si>
    <t>Monthly</t>
  </si>
  <si>
    <t>Start</t>
  </si>
  <si>
    <t>Quality 1</t>
  </si>
  <si>
    <t>Clinical 1</t>
  </si>
  <si>
    <t>Regulatory 1</t>
  </si>
  <si>
    <t>Total Salaries</t>
  </si>
  <si>
    <t>Jing</t>
  </si>
  <si>
    <t>Micro audit</t>
  </si>
  <si>
    <t>Internal audit</t>
  </si>
  <si>
    <t>ISO audit</t>
  </si>
  <si>
    <t>Quality Control</t>
  </si>
  <si>
    <t>QS1</t>
  </si>
  <si>
    <t xml:space="preserve">CE Mark </t>
  </si>
  <si>
    <t>Regulatory Costs</t>
  </si>
  <si>
    <t>(C$)</t>
  </si>
  <si>
    <t>USD/CAD</t>
  </si>
  <si>
    <t>Tech Xfer</t>
  </si>
  <si>
    <t>Travel &amp; Marketing Costs</t>
  </si>
  <si>
    <t>Listing &amp; Exchange Fees</t>
  </si>
  <si>
    <t>Transfer Agent</t>
  </si>
  <si>
    <t>Investor Relations</t>
  </si>
  <si>
    <t>Market Making</t>
  </si>
  <si>
    <t>Period #</t>
  </si>
  <si>
    <t>Period / End</t>
  </si>
  <si>
    <t>CFO &amp; IR (MG)</t>
  </si>
  <si>
    <t>Pre</t>
  </si>
  <si>
    <t>Go-Pub</t>
  </si>
  <si>
    <t>Sources</t>
  </si>
  <si>
    <t>Uses</t>
  </si>
  <si>
    <t>Equity Financing</t>
  </si>
  <si>
    <t>Brokerage Fees</t>
  </si>
  <si>
    <t>Legal Fees</t>
  </si>
  <si>
    <t>Audit Fees (listing requirements)</t>
  </si>
  <si>
    <t>Other</t>
  </si>
  <si>
    <t>Total Sources</t>
  </si>
  <si>
    <t>Total Uses</t>
  </si>
  <si>
    <t>Net Working Capital</t>
  </si>
  <si>
    <t>Financing:</t>
  </si>
  <si>
    <t>Closing Month</t>
  </si>
  <si>
    <t>Follow-On</t>
  </si>
  <si>
    <t>Total @ Go P</t>
  </si>
  <si>
    <t>Annual Audit</t>
  </si>
  <si>
    <t>End</t>
  </si>
  <si>
    <t>Director Fees</t>
  </si>
  <si>
    <t>Cost per Vial</t>
  </si>
  <si>
    <t>Revenue Build</t>
  </si>
  <si>
    <t>UofA - Edmonton</t>
  </si>
  <si>
    <t>Foothills - Calgary</t>
  </si>
  <si>
    <t>Rockyview - Calgary</t>
  </si>
  <si>
    <t>CARTI Clinic</t>
  </si>
  <si>
    <t>Advantage IR - Scottsdale, AZ</t>
  </si>
  <si>
    <t>Medicus Management LLC - California</t>
  </si>
  <si>
    <t>Cost of Goods Sold</t>
  </si>
  <si>
    <t>USA Clinics Vials</t>
  </si>
  <si>
    <t>Total Ekobi Vials</t>
  </si>
  <si>
    <t>Ekobi Cost of Goods Sold</t>
  </si>
  <si>
    <t>Total Cost of Goods Sold</t>
  </si>
  <si>
    <t>Income Statement</t>
  </si>
  <si>
    <t>Gross Profit</t>
  </si>
  <si>
    <t>General and Administrative</t>
  </si>
  <si>
    <t>EBITDA</t>
  </si>
  <si>
    <t>GAE Bridge</t>
  </si>
  <si>
    <t>GAE Pivotal 2</t>
  </si>
  <si>
    <t>Uterine Fibroid Pivotal</t>
  </si>
  <si>
    <t>Prostatic Artery Embolization Pivotal</t>
  </si>
  <si>
    <t>Clinical Studies</t>
  </si>
  <si>
    <t>GAE Pivotal 1 (Varian)</t>
  </si>
  <si>
    <t>Average</t>
  </si>
  <si>
    <t>Monthly Cost</t>
  </si>
  <si>
    <t>Employee Compensation in Stock</t>
  </si>
  <si>
    <t>2025 Annual Fees</t>
  </si>
  <si>
    <t>2023 Annual Fees</t>
  </si>
  <si>
    <t>2024 Annual Fees</t>
  </si>
  <si>
    <t>PLGA</t>
  </si>
  <si>
    <t>Canadian Clinics</t>
  </si>
  <si>
    <t>Total Canadian Clinics</t>
  </si>
  <si>
    <t>Total North American Clinics</t>
  </si>
  <si>
    <t>Vial Sales</t>
  </si>
  <si>
    <t>Average wholesale price per vial (US$)</t>
  </si>
  <si>
    <t>Average wholesale price per vial (C$)</t>
  </si>
  <si>
    <t>Monthly Vol.:</t>
  </si>
  <si>
    <t>Total Vial Sales (C$)</t>
  </si>
  <si>
    <t>Mike (CEO)</t>
  </si>
  <si>
    <t>Irwin (COO)</t>
  </si>
  <si>
    <t>Sales</t>
  </si>
  <si>
    <t>Operating Expense:</t>
  </si>
  <si>
    <t>Salaries &amp; Benefits</t>
  </si>
  <si>
    <t>Year 5 Growth</t>
  </si>
  <si>
    <t>Year 4 Growth</t>
  </si>
  <si>
    <t>Year 3 Growth</t>
  </si>
  <si>
    <t>Manufacturing Development</t>
  </si>
  <si>
    <t>Average vials ordered per clinic per month</t>
  </si>
  <si>
    <t>Average vials ordered per clinic per period</t>
  </si>
  <si>
    <t>EBITDA Margin</t>
  </si>
  <si>
    <t>Additional Clinics</t>
  </si>
  <si>
    <t>Pre-Go Public Round (net working capital)</t>
  </si>
  <si>
    <t>Go-Public Round (net working capital)</t>
  </si>
  <si>
    <t>Follow-On Round (net working capital)</t>
  </si>
  <si>
    <t>Uterine Fibroid Embolization</t>
  </si>
  <si>
    <t>Prostatic Artery Embolization</t>
  </si>
  <si>
    <t>Liver Tumor Embolization</t>
  </si>
  <si>
    <t>Trauma Embolization</t>
  </si>
  <si>
    <t>Others</t>
  </si>
  <si>
    <t>Global Embolization Particles Sales (k Unit) Comparison by Aplications</t>
  </si>
  <si>
    <t>Column1</t>
  </si>
  <si>
    <t>2012</t>
  </si>
  <si>
    <t>2016</t>
  </si>
  <si>
    <t>2022</t>
  </si>
  <si>
    <t>Column2</t>
  </si>
  <si>
    <t>Column3</t>
  </si>
  <si>
    <t>Source: QYResearch, Global Embolization Particle Sales Market Report 2018</t>
  </si>
  <si>
    <t>North America Share</t>
  </si>
  <si>
    <t>North America Embolization Particles Sales (k Unit) Comparison by Aplications</t>
  </si>
  <si>
    <t>North America - 2022</t>
  </si>
  <si>
    <t>CAGR</t>
  </si>
  <si>
    <t>Market Share Analysis</t>
  </si>
  <si>
    <t>Forecast</t>
  </si>
  <si>
    <t>Source: Global Embolization Particle Market Research Report by Market Research Future, Maia research, management research</t>
  </si>
  <si>
    <t>Mexico</t>
  </si>
  <si>
    <t>Total Sales</t>
  </si>
  <si>
    <t>SYK-US</t>
  </si>
  <si>
    <t>Stryker Corporation</t>
  </si>
  <si>
    <t>MDT-US</t>
  </si>
  <si>
    <t>Medtronic PLC</t>
  </si>
  <si>
    <t>BSX-US</t>
  </si>
  <si>
    <t>Boston Scientific Corporation</t>
  </si>
  <si>
    <t>SEMHF-US</t>
  </si>
  <si>
    <t>Siemens Healthineers AG</t>
  </si>
  <si>
    <t>PEN-US</t>
  </si>
  <si>
    <t>Penumbra Inc</t>
  </si>
  <si>
    <t>TFX-US</t>
  </si>
  <si>
    <t>Teleflex Incorporated</t>
  </si>
  <si>
    <t>MMSI-US</t>
  </si>
  <si>
    <t>Merit Medical Systems</t>
  </si>
  <si>
    <t>Ticker</t>
  </si>
  <si>
    <t>Company</t>
  </si>
  <si>
    <t>SG&amp;A</t>
  </si>
  <si>
    <t>Total Opex</t>
  </si>
  <si>
    <t>2-Year Average % of Sales</t>
  </si>
  <si>
    <t>Opex Benchmarking</t>
  </si>
  <si>
    <t>This sheet contains FactSet XML data for use with this workbook's =FDS codes.  Modifying the worksheet's contents may damage the workbook's =FDS functionality.</t>
  </si>
  <si>
    <t>Balance Sheet</t>
  </si>
  <si>
    <t>Current Assets</t>
  </si>
  <si>
    <t>Cash</t>
  </si>
  <si>
    <t>Accounts receivable</t>
  </si>
  <si>
    <t>Prepaid expenses</t>
  </si>
  <si>
    <t>Inventory</t>
  </si>
  <si>
    <t>Total Current Assets</t>
  </si>
  <si>
    <t>Fixed Assets</t>
  </si>
  <si>
    <t>IP</t>
  </si>
  <si>
    <t>Equipment &amp; other</t>
  </si>
  <si>
    <t>Accum. amortization</t>
  </si>
  <si>
    <t>Total Fixed Assets</t>
  </si>
  <si>
    <t>Total Assets</t>
  </si>
  <si>
    <t>Liabilities</t>
  </si>
  <si>
    <t>Accounts payable</t>
  </si>
  <si>
    <t>GST/HST payable</t>
  </si>
  <si>
    <t>Total Liabilities</t>
  </si>
  <si>
    <t>Equity</t>
  </si>
  <si>
    <t>Share capital</t>
  </si>
  <si>
    <t>Reserves</t>
  </si>
  <si>
    <t>Deficit</t>
  </si>
  <si>
    <t>Total Equity</t>
  </si>
  <si>
    <t>Total Liabilities &amp; Equity</t>
  </si>
  <si>
    <t>Check</t>
  </si>
  <si>
    <t>Statement of Cash Flows</t>
  </si>
  <si>
    <t>OPERATING ACTIVITIES</t>
  </si>
  <si>
    <t>Net loss and comprehensive loss</t>
  </si>
  <si>
    <t>Net change in working capital:</t>
  </si>
  <si>
    <t>Taxes payable</t>
  </si>
  <si>
    <t>Net cash provided by operating activities</t>
  </si>
  <si>
    <t>INVESTING ACTIVITIES</t>
  </si>
  <si>
    <t>Net cash used in investing activities</t>
  </si>
  <si>
    <t>FINANCING ACTIVITIES</t>
  </si>
  <si>
    <t>Net cash provided by financing activities</t>
  </si>
  <si>
    <t>Net increase in cash</t>
  </si>
  <si>
    <t>Cash balance, BoP</t>
  </si>
  <si>
    <t>Cash balance, EoP</t>
  </si>
  <si>
    <t>Tax</t>
  </si>
  <si>
    <t>Pre paid expenses</t>
  </si>
  <si>
    <t>Issuance of Common Stock</t>
  </si>
  <si>
    <t>General</t>
  </si>
  <si>
    <t>Revenue</t>
  </si>
  <si>
    <t>Opex</t>
  </si>
  <si>
    <t>G&amp;A + Salaries &amp; Benefits</t>
  </si>
  <si>
    <t>Days</t>
  </si>
  <si>
    <t>Drivers</t>
  </si>
  <si>
    <t>Assets</t>
  </si>
  <si>
    <t>Days Receivable</t>
  </si>
  <si>
    <t>Other Receivable</t>
  </si>
  <si>
    <t>5-Year Average Operating Cycle</t>
  </si>
  <si>
    <t>DSO</t>
  </si>
  <si>
    <t>Invenotry on Hand</t>
  </si>
  <si>
    <t>DPO</t>
  </si>
  <si>
    <t>Accounts Receivable</t>
  </si>
  <si>
    <t>COGS</t>
  </si>
  <si>
    <t>Total Net Working Capital</t>
  </si>
  <si>
    <t>Change</t>
  </si>
  <si>
    <t>AR % Revenue</t>
  </si>
  <si>
    <t>AP % Opex</t>
  </si>
  <si>
    <t>Population</t>
  </si>
  <si>
    <t>Revenue &amp; COGS Build</t>
  </si>
  <si>
    <t>Operating Model</t>
  </si>
  <si>
    <t xml:space="preserve">Financing </t>
  </si>
  <si>
    <t>Canadian Sales:</t>
  </si>
  <si>
    <t>* based on current pricing</t>
  </si>
  <si>
    <t>US Sales:</t>
  </si>
  <si>
    <t>*based on discussion from highly qualified GPO prospect</t>
  </si>
  <si>
    <t>Net Income  Margin</t>
  </si>
  <si>
    <t>Total Evonik Royalty Paid</t>
  </si>
  <si>
    <t>Total Paladin Royalty Paid</t>
  </si>
  <si>
    <t>Total Royalties Paid</t>
  </si>
  <si>
    <t>Profit After Royalties</t>
  </si>
  <si>
    <t>Canadian Taxes</t>
  </si>
  <si>
    <t>Canadian Tax Credits Remaining</t>
  </si>
  <si>
    <t>Canadian Taxes  to Pay</t>
  </si>
  <si>
    <t>Canadian Tax Loss Carry Forward</t>
  </si>
  <si>
    <t>Summary P&amp;L:</t>
  </si>
  <si>
    <t>Sales Metrics:</t>
  </si>
  <si>
    <t>Market Share</t>
  </si>
  <si>
    <t>North America</t>
  </si>
  <si>
    <t>% of Population</t>
  </si>
  <si>
    <t>Canada Unit Sales Estimate:</t>
  </si>
  <si>
    <t>North America Unit Sales Estimate:</t>
  </si>
  <si>
    <t>Total Unit Sales - Canada</t>
  </si>
  <si>
    <t>Total Unit Sales - North America</t>
  </si>
  <si>
    <t>US and Canada</t>
  </si>
  <si>
    <t>IMBio Market Share:</t>
  </si>
  <si>
    <t>Year 2 Growth</t>
  </si>
  <si>
    <t>PF Opening</t>
  </si>
  <si>
    <t>Operating Expenses:</t>
  </si>
  <si>
    <t>Year-Over-Year Growth:</t>
  </si>
  <si>
    <t>*based on historic order size</t>
  </si>
  <si>
    <t>IMBiotechnologies Ltd.</t>
  </si>
  <si>
    <t>Confidential</t>
  </si>
  <si>
    <t>In USD unless otherwise indicated</t>
  </si>
  <si>
    <t>Ekobi COGs - 8 May 2023</t>
  </si>
  <si>
    <t>300 gm Batch Size</t>
  </si>
  <si>
    <t>600 gm Batch Size</t>
  </si>
  <si>
    <t>Item</t>
  </si>
  <si>
    <t>Cost</t>
  </si>
  <si>
    <t>PLGA (300g)</t>
  </si>
  <si>
    <t>new PLGA source</t>
  </si>
  <si>
    <t>PLGA (600g)</t>
  </si>
  <si>
    <t>Chemicals and Disposables</t>
  </si>
  <si>
    <t>PVA</t>
  </si>
  <si>
    <t>$200/kg</t>
  </si>
  <si>
    <t>PBS (10x)</t>
  </si>
  <si>
    <t>$500/20L</t>
  </si>
  <si>
    <t>NaCl</t>
  </si>
  <si>
    <t>$230/20L cubitainer</t>
  </si>
  <si>
    <t>NaOH (10N)</t>
  </si>
  <si>
    <t>$540/20L cubitainer</t>
  </si>
  <si>
    <t>PTFE Filter</t>
  </si>
  <si>
    <t>1 required for each run</t>
  </si>
  <si>
    <t>Nylon Cartridge</t>
  </si>
  <si>
    <t>Nylong Cartridge</t>
  </si>
  <si>
    <t>Vials/seals/caps</t>
  </si>
  <si>
    <t>Gel pack</t>
  </si>
  <si>
    <t>$95/case of 48</t>
  </si>
  <si>
    <t>Shippers</t>
  </si>
  <si>
    <t>$300/case of 8</t>
  </si>
  <si>
    <t>Revised</t>
  </si>
  <si>
    <t>Testing</t>
  </si>
  <si>
    <t>Endotoxin (per lot)</t>
  </si>
  <si>
    <t>Collagen</t>
  </si>
  <si>
    <t>PSA</t>
  </si>
  <si>
    <t xml:space="preserve">Product Testing </t>
  </si>
  <si>
    <t xml:space="preserve">Total Testing </t>
  </si>
  <si>
    <t xml:space="preserve">NB: Labor costs include CMO's profit margin </t>
  </si>
  <si>
    <t xml:space="preserve"> MFG Labor</t>
  </si>
  <si>
    <t>Assume labor costs increase by:</t>
  </si>
  <si>
    <t>MFG labor:</t>
  </si>
  <si>
    <t>New</t>
  </si>
  <si>
    <t>Total Manufacturing  Costs</t>
  </si>
  <si>
    <t>Total Manufacturing Costs</t>
  </si>
  <si>
    <t>Minimum Sterlization Charge (3 Carriers/1 Run)Cost per additonal carrier = $581.60</t>
  </si>
  <si>
    <t>Minimum Sterlization Charge (3 Carriers/1 Run)</t>
  </si>
  <si>
    <t>Dosimeters</t>
  </si>
  <si>
    <t>Cost per additional carrier = $581.60</t>
  </si>
  <si>
    <t>Shrink Wrap Pallet</t>
  </si>
  <si>
    <t>Expedited servce</t>
  </si>
  <si>
    <t>Total Sterilization Costs - single lot</t>
  </si>
  <si>
    <t>Total Manufacturing &amp; Sterilization</t>
  </si>
  <si>
    <t xml:space="preserve">Total Sterilization Costs </t>
  </si>
  <si>
    <t>Vials per run</t>
  </si>
  <si>
    <t>Cost per vial</t>
  </si>
  <si>
    <t>Vials</t>
  </si>
  <si>
    <t xml:space="preserve">Dose Audit </t>
  </si>
  <si>
    <t>Runs per year (assumed)</t>
  </si>
  <si>
    <t>Total vials</t>
  </si>
  <si>
    <t>Amortized dose audit (per vial)*</t>
  </si>
  <si>
    <t>Dose Audit oer vial</t>
  </si>
  <si>
    <t>Dose Audit per vial</t>
  </si>
  <si>
    <t>TOTAL COST PER VIAL</t>
  </si>
  <si>
    <t>Boxes per Carrier</t>
  </si>
  <si>
    <t>Vials per box</t>
  </si>
  <si>
    <t>Vials per Carrier</t>
  </si>
  <si>
    <t>Each 330 gm run requires 2 carriers</t>
  </si>
  <si>
    <t>Vial yield per Lot</t>
  </si>
  <si>
    <t>updated to agree with last run</t>
  </si>
  <si>
    <t>Notes:</t>
  </si>
  <si>
    <t>PLGA cost based on invoice from Evonik… $15,000/kg… and 300g PLGA used per production run</t>
  </si>
  <si>
    <t>Endotoxin costs based on Steris invoice and are borne per production run</t>
  </si>
  <si>
    <t>Sterilization costs based on Steris invoice and assuming that a minimum of 9 carriers are filled to accommodate a 24 hour turnaround</t>
  </si>
  <si>
    <t>Testing costs are calculated per production run (Lot)</t>
  </si>
  <si>
    <t>Total vials per run are based on SVM Run 4 quantities = 339</t>
  </si>
  <si>
    <t>Assume that 3 manufacturing runs will be pooled for a Sterilization run = 1017 vials = 5 carriers</t>
  </si>
  <si>
    <t>*Assumes dose audit costs amortized across 12 lots per year</t>
  </si>
  <si>
    <t>Revision of 2 Dec 2021 COGs to capture 1 May quote for Nomisma-ALL PLGA</t>
  </si>
  <si>
    <t>COG</t>
  </si>
  <si>
    <t>US COGS</t>
  </si>
  <si>
    <t>Double scale, use different PLGA source</t>
  </si>
  <si>
    <t>reduction in COGS when double scale</t>
  </si>
  <si>
    <t>(all figures in USD)</t>
  </si>
  <si>
    <t>Current Pricing</t>
  </si>
  <si>
    <t>Pro Forma Pricing</t>
  </si>
  <si>
    <t>Delta</t>
  </si>
  <si>
    <t>Chemicales and Disposables</t>
  </si>
  <si>
    <t>Product Testing</t>
  </si>
  <si>
    <t>Labor</t>
  </si>
  <si>
    <t>Total Costs</t>
  </si>
  <si>
    <t>Vials per Run</t>
  </si>
  <si>
    <t>Dose Audit per Vial</t>
  </si>
  <si>
    <t>Total Cost per Vial</t>
  </si>
  <si>
    <t>Sale price per Vial</t>
  </si>
  <si>
    <t>Gross profit per Vial</t>
  </si>
  <si>
    <t>Gross Margin per Vial</t>
  </si>
  <si>
    <t>COGS:</t>
  </si>
  <si>
    <t>*based on current pricing</t>
  </si>
  <si>
    <t>Manufacturing cost per vial - US$</t>
  </si>
  <si>
    <t>Royalties Payable:</t>
  </si>
  <si>
    <t>Evonik Royalty:</t>
  </si>
  <si>
    <t>Royalty Rate</t>
  </si>
  <si>
    <t>Cap</t>
  </si>
  <si>
    <t>Paladin Royalty:</t>
  </si>
  <si>
    <t>*per royalty agreement</t>
  </si>
  <si>
    <t>Market Estimates By Country Analysis</t>
  </si>
  <si>
    <t>Gov't Loan Payable</t>
  </si>
  <si>
    <t>IMBio Market Share - Canada</t>
  </si>
  <si>
    <t>IMBio Market Share - North America</t>
  </si>
  <si>
    <t>Inventory % COGS</t>
  </si>
  <si>
    <t>Additional Clinics onboarded</t>
  </si>
  <si>
    <t>IMBio</t>
  </si>
  <si>
    <t>Canadian Taxes:</t>
  </si>
  <si>
    <t>Corporate Tax Rate</t>
  </si>
  <si>
    <t>P&amp;L</t>
  </si>
  <si>
    <t>Summary P&amp;L Metrics:</t>
  </si>
  <si>
    <t>Revenue Growth (YoY)</t>
  </si>
  <si>
    <t>Net Income Margin</t>
  </si>
  <si>
    <t>Canada % Sales</t>
  </si>
  <si>
    <t>U.S. % Sales</t>
  </si>
  <si>
    <t>Annual</t>
  </si>
  <si>
    <t>Clininc Estimates</t>
  </si>
  <si>
    <t xml:space="preserve">Interventional Radiologists </t>
  </si>
  <si>
    <t>Source: Society of Interventional Radiology, "SIR 2020 Interventional Radiology Workforce Survey Report"</t>
  </si>
  <si>
    <t>USA:</t>
  </si>
  <si>
    <t>IRs that perform Embolizations</t>
  </si>
  <si>
    <t>Est. of Embolization Clinincs</t>
  </si>
  <si>
    <t>Est. IRs per Clininc</t>
  </si>
  <si>
    <t>Canada:</t>
  </si>
  <si>
    <t>Source: Canadian Association for Interventional Radiology (CAIR)</t>
  </si>
  <si>
    <t>Society of Interventional Radiology, "SIR 2020 Interventional Radiology Workforce Survey Report"</t>
  </si>
  <si>
    <t>MGMT estimat</t>
  </si>
  <si>
    <t>based on USA</t>
  </si>
  <si>
    <t>USA</t>
  </si>
  <si>
    <t>IMBio Market Share by Clinics:</t>
  </si>
  <si>
    <t>Total Embolization Clinics in Canada and US</t>
  </si>
  <si>
    <t>Embolization Clinic Estimate:</t>
  </si>
  <si>
    <t>Accounts per Sales Rep</t>
  </si>
  <si>
    <t>Base Salary</t>
  </si>
  <si>
    <t>Commission Structure</t>
  </si>
  <si>
    <t>*of sales</t>
  </si>
  <si>
    <t>Salaries -Non Sales Team</t>
  </si>
  <si>
    <t>Sales Team Build</t>
  </si>
  <si>
    <t>Total Accounts</t>
  </si>
  <si>
    <t>Required Sales Reps</t>
  </si>
  <si>
    <t>Head of Sales</t>
  </si>
  <si>
    <t>Head Count:</t>
  </si>
  <si>
    <t>Total Sales Team Headcount</t>
  </si>
  <si>
    <t>Base Salaries</t>
  </si>
  <si>
    <t>Bonus Pool</t>
  </si>
  <si>
    <t>Sales Team:</t>
  </si>
  <si>
    <t>Head of Sales:</t>
  </si>
  <si>
    <t>Annual Salary</t>
  </si>
  <si>
    <t>Hire Date</t>
  </si>
  <si>
    <t>Percentage of Total Sales</t>
  </si>
  <si>
    <t>Bonus Pool:</t>
  </si>
  <si>
    <t>Total Sales Team Compensation</t>
  </si>
  <si>
    <t xml:space="preserve">Stock Incentive </t>
  </si>
  <si>
    <t>Hire Threshold</t>
  </si>
  <si>
    <t>Max Accounts</t>
  </si>
  <si>
    <t>Quarterly</t>
  </si>
  <si>
    <t>Total Compensation</t>
  </si>
  <si>
    <t>Total U.S. vial volumes</t>
  </si>
  <si>
    <t>U.S. Sales</t>
  </si>
  <si>
    <t>U.S. Unit Sales Estimate:</t>
  </si>
  <si>
    <t>Total Unit Sales - U.S.</t>
  </si>
  <si>
    <t>IMBio Market Share - U.S.</t>
  </si>
  <si>
    <t>Total Canadian vial volumes</t>
  </si>
  <si>
    <t>Total vial volumes - North America</t>
  </si>
  <si>
    <t>Total Sales Team Salaries</t>
  </si>
  <si>
    <t>Income Statement and Balance Sheet Drivers</t>
  </si>
  <si>
    <t>Balance Sheet Assumptions</t>
  </si>
  <si>
    <t>Tax-Loss Carry Forward</t>
  </si>
  <si>
    <t>Marketing</t>
  </si>
  <si>
    <t>(C$, 000s other than % figures)</t>
  </si>
  <si>
    <t>Summary Balance Sheet:</t>
  </si>
  <si>
    <t>Summary Cash Flow Statement:</t>
  </si>
  <si>
    <t>Change in Working Capital</t>
  </si>
  <si>
    <t>5-Year Forecast Summary</t>
  </si>
  <si>
    <t>Key Assumptions and 5-Year Forecast Summary</t>
  </si>
  <si>
    <t>Total North American Sales</t>
  </si>
  <si>
    <t>Benchmark</t>
  </si>
  <si>
    <t>Operating Activities</t>
  </si>
  <si>
    <t>Investing Activities</t>
  </si>
  <si>
    <t xml:space="preserve">  </t>
  </si>
  <si>
    <t>Total U.S. Clinics</t>
  </si>
  <si>
    <t>Monthly Build</t>
  </si>
  <si>
    <t>% of Total</t>
  </si>
  <si>
    <t>Drug-Eluting Beads</t>
  </si>
  <si>
    <t>Global - 2022</t>
  </si>
  <si>
    <t>MGMT estimate</t>
  </si>
  <si>
    <t>Canadian Tax Losses Remaining</t>
  </si>
  <si>
    <t>Salaries &amp; Benefits (excl Sales Team)</t>
  </si>
  <si>
    <t>Unit Volume Sold (Units):</t>
  </si>
  <si>
    <t>Clinical Study Reimbursement - AICE (Alberta)</t>
  </si>
  <si>
    <t>First Sales:</t>
  </si>
  <si>
    <t>Year 1 Reimbursement</t>
  </si>
  <si>
    <t>Year 1 Reimbursement (Commercial. Program)</t>
  </si>
  <si>
    <t>Clinical Studies:</t>
  </si>
  <si>
    <t>Market Estimates (Units):</t>
  </si>
  <si>
    <t>First Sales Reps</t>
  </si>
  <si>
    <t>Additional Sales Reps</t>
  </si>
  <si>
    <t>First Sales Rep Hire</t>
  </si>
  <si>
    <t>General R&amp;D</t>
  </si>
  <si>
    <t>Selection and Testing</t>
  </si>
  <si>
    <t>Manufacturing</t>
  </si>
  <si>
    <t>Biocompatibility</t>
  </si>
  <si>
    <t>Product Stability (accelerated)</t>
  </si>
  <si>
    <t>Product Stability (real time)</t>
  </si>
  <si>
    <t>Process Validation</t>
  </si>
  <si>
    <t>510k Filing</t>
  </si>
  <si>
    <t>Total R&amp;D</t>
  </si>
  <si>
    <t>Non-collagen products</t>
  </si>
  <si>
    <t>Est. Clinic Penetration</t>
  </si>
  <si>
    <t>Financing Activities</t>
  </si>
  <si>
    <t>Head of Sales Reimbursement</t>
  </si>
  <si>
    <t>Date Drop Down</t>
  </si>
  <si>
    <t>Clinical Study Reimburse - AICE (Alberta)</t>
  </si>
  <si>
    <t>Total Cost</t>
  </si>
  <si>
    <t>Duration (months)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</si>
</sst>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yyyy\ &quot;CY&quot;"/>
    <numFmt numFmtId="166" formatCode="mmm/dd"/>
    <numFmt numFmtId="167" formatCode="#,##0;\(#,##0\);&quot;-&quot;"/>
    <numFmt numFmtId="168" formatCode="0.0%_);\(0.0%\);0.0%_);@_)"/>
    <numFmt numFmtId="169" formatCode="&quot;Month&quot;0"/>
    <numFmt numFmtId="170" formatCode="&quot;$&quot;#,##0_);\(&quot;$&quot;#,##0\);&quot;$&quot;#,##0_);@_)"/>
    <numFmt numFmtId="171" formatCode="\Q0"/>
    <numFmt numFmtId="172" formatCode="&quot;Y&quot;0"/>
    <numFmt numFmtId="173" formatCode="#,##0.0_);\(#,##0.0\);#,##0.0_);@_)"/>
    <numFmt numFmtId="174" formatCode="#,##0_);\(#,##0\);#,##0_);@_)"/>
    <numFmt numFmtId="175" formatCode="&quot;$&quot;#,##0.0_);\(&quot;$&quot;#,##0.0\);&quot;$&quot;#,##0.0_);@_)"/>
    <numFmt numFmtId="176" formatCode="&quot;$&quot;#,##0.00_);\(&quot;$&quot;#,##0.00\);&quot;$&quot;#,##0.00_);@_)"/>
    <numFmt numFmtId="177" formatCode="#,##0.00_);\(#,##0.00\);#,##0.00_);@_)"/>
    <numFmt numFmtId="178" formatCode="0.000%_);\(0.000%\);0.000%_);@_)"/>
    <numFmt numFmtId="179" formatCode="yyyy"/>
    <numFmt numFmtId="180" formatCode="[$-409]d\-mmm\-yy;@"/>
    <numFmt numFmtId="181" formatCode="_(&quot;$&quot;* #,##0_);_(&quot;$&quot;* \(#,##0\);_(&quot;$&quot;* &quot;-&quot;??_);_(@_)"/>
    <numFmt numFmtId="182" formatCode="&quot;$&quot;#,##0.00"/>
    <numFmt numFmtId="183" formatCode="0.00%_);\(0.00%\);0.00%_);@_)"/>
    <numFmt numFmtId="184" formatCode="0&quot;bps&quot;"/>
    <numFmt numFmtId="185" formatCode="0.0"/>
    <numFmt numFmtId="186" formatCode="mmm/yyyy"/>
  </numFmts>
  <fonts count="5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i/>
      <sz val="10"/>
      <color theme="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0070C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0"/>
      <name val="Calibri"/>
      <family val="2"/>
      <scheme val="minor"/>
    </font>
    <font>
      <b/>
      <u val="singleAccounting"/>
      <sz val="10"/>
      <color theme="1"/>
      <name val="Calibri"/>
      <family val="2"/>
      <scheme val="minor"/>
    </font>
    <font>
      <b/>
      <sz val="10"/>
      <color rgb="FF00B050"/>
      <name val="Calibri"/>
      <family val="2"/>
      <scheme val="minor"/>
    </font>
    <font>
      <i/>
      <sz val="10"/>
      <color rgb="FF0070C0"/>
      <name val="Calibri"/>
      <family val="2"/>
      <scheme val="minor"/>
    </font>
    <font>
      <i/>
      <sz val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00B05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 val="singleAccounting"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0"/>
      <color theme="5"/>
      <name val="Calibri"/>
      <family val="2"/>
      <scheme val="minor"/>
    </font>
    <font>
      <i/>
      <sz val="10"/>
      <color theme="1" tint="0.499984740745262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i/>
      <sz val="10"/>
      <color theme="0" tint="-0.499984740745262"/>
      <name val="Calibri"/>
      <family val="2"/>
      <scheme val="minor"/>
    </font>
    <font>
      <i/>
      <sz val="10"/>
      <color theme="5"/>
      <name val="Calibri"/>
      <family val="2"/>
      <scheme val="minor"/>
    </font>
    <font>
      <i/>
      <sz val="10"/>
      <color rgb="FF00B050"/>
      <name val="Calibri"/>
      <family val="2"/>
      <scheme val="minor"/>
    </font>
    <font>
      <i/>
      <sz val="10"/>
      <name val="Arial"/>
      <family val="2"/>
    </font>
    <font>
      <b/>
      <sz val="10"/>
      <color rgb="FF000000"/>
      <name val="Tahoma"/>
      <family val="2"/>
    </font>
    <font>
      <sz val="10"/>
      <color rgb="FF000000"/>
      <name val="Tahoma"/>
      <family val="2"/>
    </font>
    <font>
      <sz val="10"/>
      <color rgb="FFFF0000"/>
      <name val="Calibri"/>
      <family val="2"/>
      <scheme val="minor"/>
    </font>
    <font>
      <u val="singleAccounting"/>
      <sz val="10"/>
      <color theme="1"/>
      <name val="Calibri"/>
      <family val="2"/>
      <scheme val="minor"/>
    </font>
    <font>
      <u val="singleAccounting"/>
      <sz val="10"/>
      <color rgb="FFFF0000"/>
      <name val="Calibri"/>
      <family val="2"/>
      <scheme val="minor"/>
    </font>
    <font>
      <sz val="12"/>
      <color rgb="FF0070C0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2"/>
      <color rgb="FF00B050"/>
      <name val="Calibri"/>
      <family val="2"/>
      <scheme val="minor"/>
    </font>
    <font>
      <i/>
      <sz val="12"/>
      <color rgb="FF0070C0"/>
      <name val="Calibri"/>
      <family val="2"/>
      <scheme val="minor"/>
    </font>
    <font>
      <sz val="10"/>
      <color theme="4"/>
      <name val="Calibri"/>
      <family val="2"/>
      <scheme val="minor"/>
    </font>
    <font>
      <b/>
      <u/>
      <sz val="10"/>
      <color theme="0" tint="-0.34998626667073579"/>
      <name val="Calibri"/>
      <family val="2"/>
      <scheme val="minor"/>
    </font>
    <font>
      <sz val="10"/>
      <color theme="4" tint="0.59999389629810485"/>
      <name val="Calibri"/>
      <family val="2"/>
      <scheme val="minor"/>
    </font>
    <font>
      <strike/>
      <sz val="10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</borders>
  <cellStyleXfs count="11">
    <xf numFmtId="0" fontId="0" fillId="0" borderId="0"/>
    <xf numFmtId="44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0" fontId="3" fillId="0" borderId="0"/>
    <xf numFmtId="0" fontId="2" fillId="0" borderId="0"/>
    <xf numFmtId="44" fontId="2" fillId="0" borderId="0" applyFont="0" applyFill="0" applyBorder="0" applyAlignment="0" applyProtection="0"/>
  </cellStyleXfs>
  <cellXfs count="341">
    <xf numFmtId="0" fontId="0" fillId="0" borderId="0" xfId="0"/>
    <xf numFmtId="0" fontId="6" fillId="0" borderId="0" xfId="0" applyFont="1"/>
    <xf numFmtId="0" fontId="5" fillId="0" borderId="0" xfId="0" applyFont="1"/>
    <xf numFmtId="10" fontId="0" fillId="0" borderId="0" xfId="0" applyNumberFormat="1"/>
    <xf numFmtId="0" fontId="11" fillId="3" borderId="0" xfId="9" applyFont="1" applyFill="1"/>
    <xf numFmtId="0" fontId="12" fillId="3" borderId="0" xfId="9" applyFont="1" applyFill="1"/>
    <xf numFmtId="0" fontId="12" fillId="3" borderId="0" xfId="9" applyFont="1" applyFill="1" applyAlignment="1">
      <alignment horizontal="center"/>
    </xf>
    <xf numFmtId="0" fontId="13" fillId="0" borderId="0" xfId="9" applyFont="1"/>
    <xf numFmtId="0" fontId="14" fillId="3" borderId="0" xfId="9" applyFont="1" applyFill="1"/>
    <xf numFmtId="0" fontId="15" fillId="3" borderId="0" xfId="9" applyFont="1" applyFill="1"/>
    <xf numFmtId="0" fontId="13" fillId="0" borderId="0" xfId="9" applyFont="1" applyAlignment="1">
      <alignment horizontal="center"/>
    </xf>
    <xf numFmtId="0" fontId="11" fillId="4" borderId="3" xfId="9" applyFont="1" applyFill="1" applyBorder="1"/>
    <xf numFmtId="0" fontId="12" fillId="4" borderId="3" xfId="9" applyFont="1" applyFill="1" applyBorder="1" applyAlignment="1">
      <alignment horizontal="center"/>
    </xf>
    <xf numFmtId="0" fontId="12" fillId="4" borderId="3" xfId="9" applyFont="1" applyFill="1" applyBorder="1"/>
    <xf numFmtId="0" fontId="16" fillId="0" borderId="0" xfId="9" applyFont="1"/>
    <xf numFmtId="0" fontId="17" fillId="0" borderId="4" xfId="9" applyFont="1" applyBorder="1"/>
    <xf numFmtId="0" fontId="18" fillId="0" borderId="4" xfId="9" applyFont="1" applyBorder="1"/>
    <xf numFmtId="165" fontId="19" fillId="2" borderId="5" xfId="9" applyNumberFormat="1" applyFont="1" applyFill="1" applyBorder="1" applyAlignment="1">
      <alignment horizontal="center"/>
    </xf>
    <xf numFmtId="0" fontId="18" fillId="0" borderId="6" xfId="9" applyFont="1" applyBorder="1"/>
    <xf numFmtId="0" fontId="16" fillId="0" borderId="7" xfId="9" applyFont="1" applyBorder="1"/>
    <xf numFmtId="0" fontId="16" fillId="0" borderId="1" xfId="9" applyFont="1" applyBorder="1"/>
    <xf numFmtId="166" fontId="17" fillId="0" borderId="3" xfId="9" applyNumberFormat="1" applyFont="1" applyBorder="1" applyAlignment="1">
      <alignment horizontal="center"/>
    </xf>
    <xf numFmtId="0" fontId="18" fillId="0" borderId="0" xfId="9" applyFont="1"/>
    <xf numFmtId="0" fontId="13" fillId="0" borderId="0" xfId="9" applyFont="1" applyAlignment="1">
      <alignment horizontal="left" indent="1"/>
    </xf>
    <xf numFmtId="167" fontId="13" fillId="0" borderId="0" xfId="9" applyNumberFormat="1" applyFont="1"/>
    <xf numFmtId="167" fontId="18" fillId="0" borderId="2" xfId="9" applyNumberFormat="1" applyFont="1" applyBorder="1"/>
    <xf numFmtId="0" fontId="18" fillId="0" borderId="2" xfId="9" applyFont="1" applyBorder="1"/>
    <xf numFmtId="169" fontId="18" fillId="0" borderId="6" xfId="9" applyNumberFormat="1" applyFont="1" applyBorder="1" applyAlignment="1">
      <alignment horizontal="center"/>
    </xf>
    <xf numFmtId="169" fontId="18" fillId="0" borderId="2" xfId="9" applyNumberFormat="1" applyFont="1" applyBorder="1" applyAlignment="1">
      <alignment horizontal="center"/>
    </xf>
    <xf numFmtId="0" fontId="18" fillId="0" borderId="1" xfId="9" applyFont="1" applyBorder="1"/>
    <xf numFmtId="0" fontId="18" fillId="0" borderId="0" xfId="9" applyFont="1" applyAlignment="1">
      <alignment horizontal="center"/>
    </xf>
    <xf numFmtId="170" fontId="13" fillId="5" borderId="8" xfId="9" applyNumberFormat="1" applyFont="1" applyFill="1" applyBorder="1" applyAlignment="1">
      <alignment horizontal="center"/>
    </xf>
    <xf numFmtId="0" fontId="13" fillId="5" borderId="8" xfId="9" applyFont="1" applyFill="1" applyBorder="1"/>
    <xf numFmtId="0" fontId="13" fillId="5" borderId="8" xfId="9" applyFont="1" applyFill="1" applyBorder="1" applyAlignment="1">
      <alignment horizontal="center"/>
    </xf>
    <xf numFmtId="17" fontId="20" fillId="5" borderId="8" xfId="9" applyNumberFormat="1" applyFont="1" applyFill="1" applyBorder="1" applyAlignment="1">
      <alignment horizontal="center"/>
    </xf>
    <xf numFmtId="0" fontId="13" fillId="0" borderId="9" xfId="9" applyFont="1" applyBorder="1"/>
    <xf numFmtId="0" fontId="13" fillId="0" borderId="10" xfId="9" applyFont="1" applyBorder="1" applyAlignment="1">
      <alignment horizontal="center"/>
    </xf>
    <xf numFmtId="0" fontId="20" fillId="5" borderId="11" xfId="9" applyFont="1" applyFill="1" applyBorder="1" applyAlignment="1">
      <alignment horizontal="center"/>
    </xf>
    <xf numFmtId="168" fontId="20" fillId="0" borderId="0" xfId="9" applyNumberFormat="1" applyFont="1" applyAlignment="1">
      <alignment horizontal="center"/>
    </xf>
    <xf numFmtId="0" fontId="18" fillId="0" borderId="2" xfId="9" applyFont="1" applyBorder="1" applyAlignment="1">
      <alignment horizontal="left"/>
    </xf>
    <xf numFmtId="170" fontId="20" fillId="5" borderId="8" xfId="9" applyNumberFormat="1" applyFont="1" applyFill="1" applyBorder="1" applyAlignment="1">
      <alignment horizontal="center"/>
    </xf>
    <xf numFmtId="171" fontId="18" fillId="0" borderId="2" xfId="9" applyNumberFormat="1" applyFont="1" applyBorder="1" applyAlignment="1">
      <alignment horizontal="center"/>
    </xf>
    <xf numFmtId="0" fontId="12" fillId="0" borderId="0" xfId="9" applyFont="1"/>
    <xf numFmtId="0" fontId="18" fillId="0" borderId="3" xfId="9" applyFont="1" applyBorder="1"/>
    <xf numFmtId="172" fontId="18" fillId="0" borderId="2" xfId="9" applyNumberFormat="1" applyFont="1" applyBorder="1" applyAlignment="1">
      <alignment horizontal="center"/>
    </xf>
    <xf numFmtId="0" fontId="18" fillId="0" borderId="3" xfId="9" applyFont="1" applyBorder="1" applyAlignment="1">
      <alignment horizontal="left" indent="1"/>
    </xf>
    <xf numFmtId="0" fontId="18" fillId="0" borderId="0" xfId="9" applyFont="1" applyAlignment="1">
      <alignment horizontal="left" indent="1"/>
    </xf>
    <xf numFmtId="170" fontId="18" fillId="0" borderId="3" xfId="9" applyNumberFormat="1" applyFont="1" applyBorder="1" applyAlignment="1">
      <alignment horizontal="center"/>
    </xf>
    <xf numFmtId="0" fontId="18" fillId="6" borderId="1" xfId="9" applyFont="1" applyFill="1" applyBorder="1"/>
    <xf numFmtId="0" fontId="13" fillId="6" borderId="1" xfId="9" applyFont="1" applyFill="1" applyBorder="1" applyAlignment="1">
      <alignment horizontal="center"/>
    </xf>
    <xf numFmtId="170" fontId="13" fillId="0" borderId="0" xfId="9" applyNumberFormat="1" applyFont="1"/>
    <xf numFmtId="0" fontId="13" fillId="0" borderId="2" xfId="9" applyFont="1" applyBorder="1"/>
    <xf numFmtId="170" fontId="18" fillId="0" borderId="2" xfId="9" applyNumberFormat="1" applyFont="1" applyBorder="1"/>
    <xf numFmtId="170" fontId="18" fillId="0" borderId="3" xfId="9" applyNumberFormat="1" applyFont="1" applyBorder="1"/>
    <xf numFmtId="0" fontId="18" fillId="0" borderId="4" xfId="9" applyFont="1" applyBorder="1" applyAlignment="1">
      <alignment horizontal="center"/>
    </xf>
    <xf numFmtId="17" fontId="22" fillId="5" borderId="8" xfId="9" applyNumberFormat="1" applyFont="1" applyFill="1" applyBorder="1" applyAlignment="1">
      <alignment horizontal="center"/>
    </xf>
    <xf numFmtId="170" fontId="13" fillId="7" borderId="0" xfId="9" applyNumberFormat="1" applyFont="1" applyFill="1" applyAlignment="1">
      <alignment horizontal="center"/>
    </xf>
    <xf numFmtId="0" fontId="13" fillId="7" borderId="0" xfId="9" applyFont="1" applyFill="1" applyAlignment="1">
      <alignment horizontal="center"/>
    </xf>
    <xf numFmtId="170" fontId="18" fillId="7" borderId="3" xfId="9" applyNumberFormat="1" applyFont="1" applyFill="1" applyBorder="1" applyAlignment="1">
      <alignment horizontal="center"/>
    </xf>
    <xf numFmtId="0" fontId="18" fillId="7" borderId="4" xfId="9" applyFont="1" applyFill="1" applyBorder="1" applyAlignment="1">
      <alignment horizontal="center"/>
    </xf>
    <xf numFmtId="167" fontId="18" fillId="0" borderId="0" xfId="9" applyNumberFormat="1" applyFont="1"/>
    <xf numFmtId="0" fontId="17" fillId="0" borderId="0" xfId="0" applyFont="1"/>
    <xf numFmtId="0" fontId="13" fillId="0" borderId="0" xfId="0" applyFont="1"/>
    <xf numFmtId="0" fontId="13" fillId="0" borderId="0" xfId="0" applyFont="1" applyAlignment="1">
      <alignment horizontal="left" indent="1"/>
    </xf>
    <xf numFmtId="0" fontId="18" fillId="7" borderId="1" xfId="0" applyFont="1" applyFill="1" applyBorder="1"/>
    <xf numFmtId="167" fontId="13" fillId="0" borderId="0" xfId="9" applyNumberFormat="1" applyFont="1" applyAlignment="1">
      <alignment horizontal="right"/>
    </xf>
    <xf numFmtId="167" fontId="18" fillId="0" borderId="2" xfId="9" applyNumberFormat="1" applyFont="1" applyBorder="1" applyAlignment="1">
      <alignment horizontal="right"/>
    </xf>
    <xf numFmtId="170" fontId="23" fillId="0" borderId="0" xfId="9" applyNumberFormat="1" applyFont="1" applyAlignment="1">
      <alignment horizontal="center"/>
    </xf>
    <xf numFmtId="0" fontId="18" fillId="0" borderId="0" xfId="0" applyFont="1"/>
    <xf numFmtId="0" fontId="24" fillId="0" borderId="0" xfId="9" applyFont="1" applyAlignment="1">
      <alignment horizontal="center"/>
    </xf>
    <xf numFmtId="0" fontId="20" fillId="5" borderId="8" xfId="9" applyFont="1" applyFill="1" applyBorder="1" applyAlignment="1">
      <alignment horizontal="right"/>
    </xf>
    <xf numFmtId="0" fontId="20" fillId="5" borderId="8" xfId="9" applyFont="1" applyFill="1" applyBorder="1"/>
    <xf numFmtId="0" fontId="18" fillId="7" borderId="3" xfId="9" applyFont="1" applyFill="1" applyBorder="1"/>
    <xf numFmtId="167" fontId="18" fillId="7" borderId="3" xfId="9" applyNumberFormat="1" applyFont="1" applyFill="1" applyBorder="1"/>
    <xf numFmtId="170" fontId="18" fillId="7" borderId="3" xfId="9" applyNumberFormat="1" applyFont="1" applyFill="1" applyBorder="1"/>
    <xf numFmtId="175" fontId="18" fillId="0" borderId="2" xfId="9" applyNumberFormat="1" applyFont="1" applyBorder="1" applyAlignment="1">
      <alignment horizontal="right"/>
    </xf>
    <xf numFmtId="167" fontId="13" fillId="0" borderId="1" xfId="9" applyNumberFormat="1" applyFont="1" applyBorder="1"/>
    <xf numFmtId="0" fontId="18" fillId="0" borderId="1" xfId="9" applyFont="1" applyBorder="1" applyAlignment="1">
      <alignment horizontal="left" indent="1"/>
    </xf>
    <xf numFmtId="0" fontId="13" fillId="0" borderId="0" xfId="9" applyFont="1" applyAlignment="1">
      <alignment horizontal="left" indent="2"/>
    </xf>
    <xf numFmtId="0" fontId="18" fillId="0" borderId="2" xfId="9" applyFont="1" applyBorder="1" applyAlignment="1">
      <alignment horizontal="left" indent="1"/>
    </xf>
    <xf numFmtId="0" fontId="13" fillId="0" borderId="1" xfId="9" applyFont="1" applyBorder="1" applyAlignment="1">
      <alignment horizontal="left" indent="2"/>
    </xf>
    <xf numFmtId="0" fontId="17" fillId="0" borderId="0" xfId="9" applyFont="1" applyAlignment="1">
      <alignment horizontal="left" indent="2"/>
    </xf>
    <xf numFmtId="0" fontId="17" fillId="0" borderId="0" xfId="9" applyFont="1"/>
    <xf numFmtId="170" fontId="17" fillId="5" borderId="8" xfId="9" applyNumberFormat="1" applyFont="1" applyFill="1" applyBorder="1" applyAlignment="1">
      <alignment horizontal="center"/>
    </xf>
    <xf numFmtId="0" fontId="17" fillId="5" borderId="8" xfId="9" applyFont="1" applyFill="1" applyBorder="1" applyAlignment="1">
      <alignment horizontal="center"/>
    </xf>
    <xf numFmtId="0" fontId="17" fillId="5" borderId="8" xfId="9" applyFont="1" applyFill="1" applyBorder="1"/>
    <xf numFmtId="167" fontId="17" fillId="0" borderId="0" xfId="9" applyNumberFormat="1" applyFont="1"/>
    <xf numFmtId="167" fontId="26" fillId="0" borderId="0" xfId="9" applyNumberFormat="1" applyFont="1"/>
    <xf numFmtId="170" fontId="26" fillId="5" borderId="8" xfId="9" applyNumberFormat="1" applyFont="1" applyFill="1" applyBorder="1" applyAlignment="1">
      <alignment horizontal="center"/>
    </xf>
    <xf numFmtId="17" fontId="26" fillId="5" borderId="8" xfId="9" applyNumberFormat="1" applyFont="1" applyFill="1" applyBorder="1" applyAlignment="1">
      <alignment horizontal="center"/>
    </xf>
    <xf numFmtId="0" fontId="17" fillId="0" borderId="1" xfId="9" applyFont="1" applyBorder="1" applyAlignment="1">
      <alignment horizontal="left" indent="2"/>
    </xf>
    <xf numFmtId="167" fontId="17" fillId="0" borderId="1" xfId="9" applyNumberFormat="1" applyFont="1" applyBorder="1"/>
    <xf numFmtId="170" fontId="27" fillId="5" borderId="8" xfId="9" applyNumberFormat="1" applyFont="1" applyFill="1" applyBorder="1" applyAlignment="1">
      <alignment horizontal="center"/>
    </xf>
    <xf numFmtId="168" fontId="26" fillId="5" borderId="8" xfId="9" applyNumberFormat="1" applyFont="1" applyFill="1" applyBorder="1" applyAlignment="1">
      <alignment horizontal="center"/>
    </xf>
    <xf numFmtId="170" fontId="17" fillId="0" borderId="0" xfId="9" applyNumberFormat="1" applyFont="1" applyAlignment="1">
      <alignment horizontal="center"/>
    </xf>
    <xf numFmtId="10" fontId="5" fillId="0" borderId="0" xfId="0" applyNumberFormat="1" applyFont="1"/>
    <xf numFmtId="168" fontId="0" fillId="0" borderId="0" xfId="0" applyNumberFormat="1"/>
    <xf numFmtId="168" fontId="29" fillId="5" borderId="0" xfId="0" applyNumberFormat="1" applyFont="1" applyFill="1"/>
    <xf numFmtId="7" fontId="21" fillId="0" borderId="0" xfId="9" applyNumberFormat="1" applyFont="1"/>
    <xf numFmtId="177" fontId="0" fillId="0" borderId="0" xfId="0" applyNumberFormat="1"/>
    <xf numFmtId="0" fontId="18" fillId="0" borderId="2" xfId="9" applyFont="1" applyBorder="1" applyAlignment="1">
      <alignment horizontal="left" indent="2"/>
    </xf>
    <xf numFmtId="178" fontId="18" fillId="7" borderId="3" xfId="9" applyNumberFormat="1" applyFont="1" applyFill="1" applyBorder="1"/>
    <xf numFmtId="0" fontId="5" fillId="0" borderId="12" xfId="0" applyFont="1" applyBorder="1"/>
    <xf numFmtId="0" fontId="5" fillId="0" borderId="1" xfId="0" applyFont="1" applyBorder="1" applyAlignment="1">
      <alignment horizontal="centerContinuous"/>
    </xf>
    <xf numFmtId="0" fontId="0" fillId="0" borderId="1" xfId="0" applyBorder="1" applyAlignment="1">
      <alignment horizontal="centerContinuous"/>
    </xf>
    <xf numFmtId="173" fontId="0" fillId="0" borderId="0" xfId="0" applyNumberFormat="1"/>
    <xf numFmtId="5" fontId="13" fillId="0" borderId="0" xfId="9" applyNumberFormat="1" applyFont="1"/>
    <xf numFmtId="173" fontId="13" fillId="0" borderId="0" xfId="9" applyNumberFormat="1" applyFont="1"/>
    <xf numFmtId="0" fontId="28" fillId="8" borderId="0" xfId="0" applyFont="1" applyFill="1"/>
    <xf numFmtId="170" fontId="20" fillId="5" borderId="8" xfId="9" applyNumberFormat="1" applyFont="1" applyFill="1" applyBorder="1" applyAlignment="1">
      <alignment horizontal="right"/>
    </xf>
    <xf numFmtId="0" fontId="18" fillId="7" borderId="1" xfId="9" applyFont="1" applyFill="1" applyBorder="1"/>
    <xf numFmtId="0" fontId="13" fillId="7" borderId="1" xfId="9" applyFont="1" applyFill="1" applyBorder="1" applyAlignment="1">
      <alignment horizontal="center"/>
    </xf>
    <xf numFmtId="174" fontId="20" fillId="5" borderId="8" xfId="9" applyNumberFormat="1" applyFont="1" applyFill="1" applyBorder="1" applyAlignment="1">
      <alignment horizontal="right"/>
    </xf>
    <xf numFmtId="0" fontId="13" fillId="0" borderId="0" xfId="9" applyFont="1" applyAlignment="1">
      <alignment horizontal="right"/>
    </xf>
    <xf numFmtId="174" fontId="13" fillId="0" borderId="0" xfId="9" applyNumberFormat="1" applyFont="1" applyAlignment="1">
      <alignment horizontal="right"/>
    </xf>
    <xf numFmtId="173" fontId="13" fillId="0" borderId="0" xfId="9" applyNumberFormat="1" applyFont="1" applyAlignment="1">
      <alignment horizontal="center"/>
    </xf>
    <xf numFmtId="174" fontId="21" fillId="0" borderId="0" xfId="9" applyNumberFormat="1" applyFont="1"/>
    <xf numFmtId="174" fontId="18" fillId="0" borderId="2" xfId="9" applyNumberFormat="1" applyFont="1" applyBorder="1"/>
    <xf numFmtId="0" fontId="8" fillId="0" borderId="0" xfId="0" applyFont="1" applyAlignment="1">
      <alignment horizontal="centerContinuous"/>
    </xf>
    <xf numFmtId="0" fontId="1" fillId="0" borderId="0" xfId="0" applyFont="1"/>
    <xf numFmtId="179" fontId="8" fillId="0" borderId="0" xfId="0" applyNumberFormat="1" applyFont="1" applyAlignment="1">
      <alignment horizontal="center"/>
    </xf>
    <xf numFmtId="3" fontId="1" fillId="0" borderId="0" xfId="0" applyNumberFormat="1" applyFont="1" applyAlignment="1">
      <alignment horizontal="center"/>
    </xf>
    <xf numFmtId="3" fontId="30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168" fontId="1" fillId="0" borderId="0" xfId="0" applyNumberFormat="1" applyFont="1" applyAlignment="1">
      <alignment horizontal="center"/>
    </xf>
    <xf numFmtId="0" fontId="31" fillId="0" borderId="0" xfId="0" applyFont="1"/>
    <xf numFmtId="0" fontId="6" fillId="0" borderId="2" xfId="0" applyFont="1" applyBorder="1"/>
    <xf numFmtId="168" fontId="6" fillId="0" borderId="2" xfId="0" applyNumberFormat="1" applyFont="1" applyBorder="1" applyAlignment="1">
      <alignment horizontal="center"/>
    </xf>
    <xf numFmtId="0" fontId="32" fillId="0" borderId="0" xfId="0" applyFont="1"/>
    <xf numFmtId="0" fontId="18" fillId="0" borderId="2" xfId="0" applyFont="1" applyBorder="1" applyAlignment="1">
      <alignment horizontal="left"/>
    </xf>
    <xf numFmtId="0" fontId="18" fillId="0" borderId="0" xfId="0" applyFont="1" applyAlignment="1">
      <alignment horizontal="left"/>
    </xf>
    <xf numFmtId="0" fontId="18" fillId="0" borderId="3" xfId="0" applyFont="1" applyBorder="1" applyAlignment="1">
      <alignment horizontal="left"/>
    </xf>
    <xf numFmtId="0" fontId="18" fillId="0" borderId="2" xfId="0" applyFont="1" applyBorder="1"/>
    <xf numFmtId="167" fontId="18" fillId="0" borderId="3" xfId="9" applyNumberFormat="1" applyFont="1" applyBorder="1"/>
    <xf numFmtId="0" fontId="13" fillId="0" borderId="0" xfId="0" applyFont="1" applyAlignment="1">
      <alignment horizontal="left"/>
    </xf>
    <xf numFmtId="0" fontId="18" fillId="0" borderId="3" xfId="0" applyFont="1" applyBorder="1"/>
    <xf numFmtId="167" fontId="34" fillId="0" borderId="0" xfId="9" applyNumberFormat="1" applyFont="1"/>
    <xf numFmtId="0" fontId="34" fillId="0" borderId="0" xfId="9" applyFont="1"/>
    <xf numFmtId="167" fontId="12" fillId="0" borderId="0" xfId="9" applyNumberFormat="1" applyFont="1"/>
    <xf numFmtId="167" fontId="11" fillId="0" borderId="0" xfId="9" applyNumberFormat="1" applyFont="1"/>
    <xf numFmtId="167" fontId="15" fillId="0" borderId="0" xfId="9" applyNumberFormat="1" applyFont="1"/>
    <xf numFmtId="0" fontId="18" fillId="0" borderId="1" xfId="2" applyFont="1" applyBorder="1"/>
    <xf numFmtId="0" fontId="13" fillId="0" borderId="0" xfId="2" applyFont="1" applyAlignment="1">
      <alignment horizontal="left" indent="1"/>
    </xf>
    <xf numFmtId="0" fontId="13" fillId="0" borderId="0" xfId="2" applyFont="1" applyAlignment="1">
      <alignment horizontal="left"/>
    </xf>
    <xf numFmtId="0" fontId="35" fillId="0" borderId="0" xfId="9" applyFont="1"/>
    <xf numFmtId="0" fontId="35" fillId="0" borderId="0" xfId="9" applyFont="1" applyAlignment="1">
      <alignment horizontal="left" indent="1"/>
    </xf>
    <xf numFmtId="168" fontId="35" fillId="0" borderId="0" xfId="9" applyNumberFormat="1" applyFont="1"/>
    <xf numFmtId="173" fontId="6" fillId="0" borderId="2" xfId="0" applyNumberFormat="1" applyFont="1" applyBorder="1" applyAlignment="1">
      <alignment horizontal="center"/>
    </xf>
    <xf numFmtId="0" fontId="30" fillId="0" borderId="0" xfId="0" applyFont="1" applyAlignment="1">
      <alignment horizontal="center"/>
    </xf>
    <xf numFmtId="0" fontId="13" fillId="0" borderId="0" xfId="2" applyFont="1"/>
    <xf numFmtId="0" fontId="18" fillId="0" borderId="0" xfId="9" applyFont="1" applyAlignment="1">
      <alignment horizontal="left"/>
    </xf>
    <xf numFmtId="0" fontId="17" fillId="0" borderId="0" xfId="9" applyFont="1" applyAlignment="1">
      <alignment horizontal="left" indent="1"/>
    </xf>
    <xf numFmtId="168" fontId="17" fillId="0" borderId="0" xfId="9" applyNumberFormat="1" applyFont="1" applyAlignment="1">
      <alignment horizontal="right"/>
    </xf>
    <xf numFmtId="0" fontId="36" fillId="8" borderId="0" xfId="0" applyFont="1" applyFill="1"/>
    <xf numFmtId="0" fontId="21" fillId="5" borderId="11" xfId="9" applyFont="1" applyFill="1" applyBorder="1" applyAlignment="1">
      <alignment horizontal="center"/>
    </xf>
    <xf numFmtId="0" fontId="37" fillId="0" borderId="0" xfId="0" applyFont="1"/>
    <xf numFmtId="174" fontId="21" fillId="5" borderId="8" xfId="9" applyNumberFormat="1" applyFont="1" applyFill="1" applyBorder="1" applyAlignment="1">
      <alignment horizontal="right"/>
    </xf>
    <xf numFmtId="170" fontId="21" fillId="5" borderId="8" xfId="9" applyNumberFormat="1" applyFont="1" applyFill="1" applyBorder="1" applyAlignment="1">
      <alignment horizontal="right"/>
    </xf>
    <xf numFmtId="0" fontId="13" fillId="7" borderId="1" xfId="0" applyFont="1" applyFill="1" applyBorder="1"/>
    <xf numFmtId="0" fontId="37" fillId="7" borderId="1" xfId="0" applyFont="1" applyFill="1" applyBorder="1"/>
    <xf numFmtId="172" fontId="18" fillId="0" borderId="3" xfId="9" applyNumberFormat="1" applyFont="1" applyBorder="1" applyAlignment="1">
      <alignment horizontal="center"/>
    </xf>
    <xf numFmtId="1" fontId="20" fillId="5" borderId="8" xfId="9" applyNumberFormat="1" applyFont="1" applyFill="1" applyBorder="1"/>
    <xf numFmtId="0" fontId="21" fillId="5" borderId="8" xfId="9" applyFont="1" applyFill="1" applyBorder="1"/>
    <xf numFmtId="174" fontId="20" fillId="5" borderId="8" xfId="9" applyNumberFormat="1" applyFont="1" applyFill="1" applyBorder="1"/>
    <xf numFmtId="0" fontId="11" fillId="4" borderId="3" xfId="9" applyFont="1" applyFill="1" applyBorder="1" applyAlignment="1">
      <alignment horizontal="left"/>
    </xf>
    <xf numFmtId="0" fontId="17" fillId="0" borderId="3" xfId="0" applyFont="1" applyBorder="1"/>
    <xf numFmtId="174" fontId="25" fillId="0" borderId="0" xfId="9" applyNumberFormat="1" applyFont="1" applyAlignment="1">
      <alignment horizontal="center"/>
    </xf>
    <xf numFmtId="0" fontId="38" fillId="0" borderId="0" xfId="0" applyFont="1" applyAlignment="1">
      <alignment horizontal="left" indent="2"/>
    </xf>
    <xf numFmtId="168" fontId="38" fillId="0" borderId="0" xfId="0" applyNumberFormat="1" applyFont="1"/>
    <xf numFmtId="170" fontId="21" fillId="0" borderId="0" xfId="9" applyNumberFormat="1" applyFont="1"/>
    <xf numFmtId="175" fontId="18" fillId="0" borderId="0" xfId="9" applyNumberFormat="1" applyFont="1" applyAlignment="1">
      <alignment horizontal="right"/>
    </xf>
    <xf numFmtId="167" fontId="18" fillId="0" borderId="0" xfId="9" applyNumberFormat="1" applyFont="1" applyAlignment="1">
      <alignment horizontal="right"/>
    </xf>
    <xf numFmtId="167" fontId="16" fillId="0" borderId="2" xfId="9" applyNumberFormat="1" applyFont="1" applyBorder="1"/>
    <xf numFmtId="167" fontId="18" fillId="0" borderId="3" xfId="9" applyNumberFormat="1" applyFont="1" applyBorder="1" applyAlignment="1">
      <alignment horizontal="right"/>
    </xf>
    <xf numFmtId="168" fontId="26" fillId="0" borderId="0" xfId="9" applyNumberFormat="1" applyFont="1" applyAlignment="1">
      <alignment horizontal="center"/>
    </xf>
    <xf numFmtId="170" fontId="26" fillId="0" borderId="0" xfId="9" applyNumberFormat="1" applyFont="1" applyAlignment="1">
      <alignment horizontal="center"/>
    </xf>
    <xf numFmtId="167" fontId="39" fillId="0" borderId="0" xfId="9" applyNumberFormat="1" applyFont="1"/>
    <xf numFmtId="167" fontId="18" fillId="0" borderId="1" xfId="9" applyNumberFormat="1" applyFont="1" applyBorder="1" applyAlignment="1">
      <alignment horizontal="right"/>
    </xf>
    <xf numFmtId="174" fontId="5" fillId="0" borderId="2" xfId="0" applyNumberFormat="1" applyFont="1" applyBorder="1"/>
    <xf numFmtId="168" fontId="5" fillId="0" borderId="2" xfId="0" applyNumberFormat="1" applyFont="1" applyBorder="1"/>
    <xf numFmtId="0" fontId="5" fillId="0" borderId="4" xfId="0" applyFont="1" applyBorder="1"/>
    <xf numFmtId="0" fontId="5" fillId="0" borderId="3" xfId="0" applyFont="1" applyBorder="1"/>
    <xf numFmtId="177" fontId="5" fillId="0" borderId="3" xfId="0" applyNumberFormat="1" applyFont="1" applyBorder="1"/>
    <xf numFmtId="173" fontId="5" fillId="0" borderId="3" xfId="0" applyNumberFormat="1" applyFont="1" applyBorder="1"/>
    <xf numFmtId="178" fontId="18" fillId="0" borderId="3" xfId="9" applyNumberFormat="1" applyFont="1" applyBorder="1"/>
    <xf numFmtId="168" fontId="40" fillId="5" borderId="8" xfId="9" applyNumberFormat="1" applyFont="1" applyFill="1" applyBorder="1" applyAlignment="1">
      <alignment horizontal="center"/>
    </xf>
    <xf numFmtId="167" fontId="16" fillId="0" borderId="3" xfId="9" applyNumberFormat="1" applyFont="1" applyBorder="1"/>
    <xf numFmtId="0" fontId="15" fillId="0" borderId="0" xfId="9" applyFont="1"/>
    <xf numFmtId="180" fontId="41" fillId="0" borderId="0" xfId="7" applyNumberFormat="1" applyFont="1" applyAlignment="1">
      <alignment horizontal="left"/>
    </xf>
    <xf numFmtId="0" fontId="24" fillId="0" borderId="0" xfId="0" applyFont="1" applyAlignment="1">
      <alignment horizontal="center"/>
    </xf>
    <xf numFmtId="170" fontId="13" fillId="0" borderId="0" xfId="0" applyNumberFormat="1" applyFont="1" applyAlignment="1">
      <alignment horizontal="center"/>
    </xf>
    <xf numFmtId="168" fontId="13" fillId="0" borderId="0" xfId="0" applyNumberFormat="1" applyFont="1" applyAlignment="1">
      <alignment horizontal="center"/>
    </xf>
    <xf numFmtId="0" fontId="13" fillId="0" borderId="2" xfId="0" applyFont="1" applyBorder="1" applyAlignment="1">
      <alignment horizontal="left" indent="1"/>
    </xf>
    <xf numFmtId="0" fontId="13" fillId="0" borderId="2" xfId="0" applyFont="1" applyBorder="1"/>
    <xf numFmtId="170" fontId="13" fillId="0" borderId="2" xfId="0" applyNumberFormat="1" applyFont="1" applyBorder="1" applyAlignment="1">
      <alignment horizontal="center"/>
    </xf>
    <xf numFmtId="168" fontId="13" fillId="0" borderId="2" xfId="0" applyNumberFormat="1" applyFont="1" applyBorder="1" applyAlignment="1">
      <alignment horizontal="center"/>
    </xf>
    <xf numFmtId="0" fontId="18" fillId="7" borderId="0" xfId="0" applyFont="1" applyFill="1"/>
    <xf numFmtId="170" fontId="18" fillId="7" borderId="0" xfId="0" applyNumberFormat="1" applyFont="1" applyFill="1" applyAlignment="1">
      <alignment horizontal="center"/>
    </xf>
    <xf numFmtId="168" fontId="18" fillId="7" borderId="0" xfId="0" applyNumberFormat="1" applyFont="1" applyFill="1" applyAlignment="1">
      <alignment horizontal="center"/>
    </xf>
    <xf numFmtId="0" fontId="13" fillId="0" borderId="0" xfId="0" applyFont="1" applyAlignment="1">
      <alignment horizontal="center"/>
    </xf>
    <xf numFmtId="182" fontId="13" fillId="0" borderId="0" xfId="0" applyNumberFormat="1" applyFont="1" applyAlignment="1">
      <alignment horizontal="center"/>
    </xf>
    <xf numFmtId="0" fontId="18" fillId="7" borderId="16" xfId="0" applyFont="1" applyFill="1" applyBorder="1"/>
    <xf numFmtId="0" fontId="18" fillId="7" borderId="3" xfId="0" applyFont="1" applyFill="1" applyBorder="1"/>
    <xf numFmtId="182" fontId="18" fillId="7" borderId="3" xfId="0" applyNumberFormat="1" applyFont="1" applyFill="1" applyBorder="1" applyAlignment="1">
      <alignment horizontal="center"/>
    </xf>
    <xf numFmtId="168" fontId="18" fillId="7" borderId="17" xfId="0" applyNumberFormat="1" applyFont="1" applyFill="1" applyBorder="1" applyAlignment="1">
      <alignment horizontal="center"/>
    </xf>
    <xf numFmtId="0" fontId="18" fillId="7" borderId="18" xfId="0" applyFont="1" applyFill="1" applyBorder="1"/>
    <xf numFmtId="0" fontId="18" fillId="7" borderId="2" xfId="0" applyFont="1" applyFill="1" applyBorder="1"/>
    <xf numFmtId="182" fontId="18" fillId="7" borderId="2" xfId="0" applyNumberFormat="1" applyFont="1" applyFill="1" applyBorder="1" applyAlignment="1">
      <alignment horizontal="center"/>
    </xf>
    <xf numFmtId="168" fontId="18" fillId="7" borderId="19" xfId="0" applyNumberFormat="1" applyFont="1" applyFill="1" applyBorder="1" applyAlignment="1">
      <alignment horizontal="center"/>
    </xf>
    <xf numFmtId="0" fontId="18" fillId="7" borderId="7" xfId="0" applyFont="1" applyFill="1" applyBorder="1"/>
    <xf numFmtId="183" fontId="18" fillId="7" borderId="1" xfId="0" applyNumberFormat="1" applyFont="1" applyFill="1" applyBorder="1" applyAlignment="1">
      <alignment horizontal="center"/>
    </xf>
    <xf numFmtId="184" fontId="18" fillId="7" borderId="20" xfId="0" applyNumberFormat="1" applyFont="1" applyFill="1" applyBorder="1" applyAlignment="1">
      <alignment horizontal="center"/>
    </xf>
    <xf numFmtId="44" fontId="21" fillId="5" borderId="8" xfId="9" applyNumberFormat="1" applyFont="1" applyFill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3" fillId="0" borderId="0" xfId="0" applyFont="1" applyAlignment="1">
      <alignment horizontal="right"/>
    </xf>
    <xf numFmtId="44" fontId="13" fillId="0" borderId="0" xfId="1" applyFont="1" applyFill="1"/>
    <xf numFmtId="44" fontId="13" fillId="0" borderId="0" xfId="1" applyFont="1"/>
    <xf numFmtId="181" fontId="13" fillId="0" borderId="0" xfId="1" applyNumberFormat="1" applyFont="1" applyFill="1"/>
    <xf numFmtId="44" fontId="13" fillId="0" borderId="0" xfId="0" applyNumberFormat="1" applyFont="1"/>
    <xf numFmtId="6" fontId="13" fillId="0" borderId="0" xfId="0" applyNumberFormat="1" applyFont="1"/>
    <xf numFmtId="6" fontId="44" fillId="0" borderId="0" xfId="0" applyNumberFormat="1" applyFont="1"/>
    <xf numFmtId="44" fontId="44" fillId="0" borderId="0" xfId="0" applyNumberFormat="1" applyFont="1"/>
    <xf numFmtId="44" fontId="45" fillId="0" borderId="0" xfId="1" applyFont="1" applyFill="1"/>
    <xf numFmtId="44" fontId="45" fillId="0" borderId="0" xfId="0" applyNumberFormat="1" applyFont="1"/>
    <xf numFmtId="44" fontId="46" fillId="0" borderId="0" xfId="0" applyNumberFormat="1" applyFont="1"/>
    <xf numFmtId="0" fontId="13" fillId="0" borderId="0" xfId="0" applyFont="1" applyAlignment="1">
      <alignment horizontal="right" vertical="center"/>
    </xf>
    <xf numFmtId="44" fontId="45" fillId="0" borderId="0" xfId="1" applyFont="1"/>
    <xf numFmtId="10" fontId="13" fillId="0" borderId="13" xfId="0" applyNumberFormat="1" applyFont="1" applyBorder="1"/>
    <xf numFmtId="0" fontId="13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9" fontId="13" fillId="0" borderId="0" xfId="0" applyNumberFormat="1" applyFont="1"/>
    <xf numFmtId="9" fontId="13" fillId="0" borderId="13" xfId="0" applyNumberFormat="1" applyFont="1" applyBorder="1"/>
    <xf numFmtId="0" fontId="13" fillId="0" borderId="0" xfId="0" applyFont="1" applyAlignment="1">
      <alignment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37" fontId="13" fillId="0" borderId="0" xfId="1" applyNumberFormat="1" applyFont="1"/>
    <xf numFmtId="42" fontId="13" fillId="0" borderId="0" xfId="0" applyNumberFormat="1" applyFont="1"/>
    <xf numFmtId="3" fontId="13" fillId="0" borderId="0" xfId="1" applyNumberFormat="1" applyFont="1"/>
    <xf numFmtId="3" fontId="13" fillId="0" borderId="0" xfId="0" applyNumberFormat="1" applyFont="1"/>
    <xf numFmtId="0" fontId="18" fillId="0" borderId="14" xfId="0" applyFont="1" applyBorder="1"/>
    <xf numFmtId="44" fontId="24" fillId="0" borderId="0" xfId="1" applyFont="1"/>
    <xf numFmtId="181" fontId="18" fillId="0" borderId="0" xfId="1" applyNumberFormat="1" applyFont="1"/>
    <xf numFmtId="0" fontId="18" fillId="0" borderId="15" xfId="0" applyFont="1" applyBorder="1"/>
    <xf numFmtId="44" fontId="18" fillId="0" borderId="15" xfId="1" applyFont="1" applyBorder="1"/>
    <xf numFmtId="2" fontId="13" fillId="0" borderId="0" xfId="0" applyNumberFormat="1" applyFont="1"/>
    <xf numFmtId="0" fontId="44" fillId="0" borderId="0" xfId="0" applyFont="1"/>
    <xf numFmtId="44" fontId="13" fillId="9" borderId="13" xfId="0" applyNumberFormat="1" applyFont="1" applyFill="1" applyBorder="1"/>
    <xf numFmtId="3" fontId="13" fillId="0" borderId="0" xfId="0" applyNumberFormat="1" applyFont="1" applyAlignment="1">
      <alignment horizontal="center"/>
    </xf>
    <xf numFmtId="9" fontId="13" fillId="9" borderId="13" xfId="0" applyNumberFormat="1" applyFont="1" applyFill="1" applyBorder="1"/>
    <xf numFmtId="176" fontId="20" fillId="5" borderId="8" xfId="9" applyNumberFormat="1" applyFont="1" applyFill="1" applyBorder="1" applyAlignment="1">
      <alignment horizontal="right"/>
    </xf>
    <xf numFmtId="176" fontId="21" fillId="5" borderId="8" xfId="9" applyNumberFormat="1" applyFont="1" applyFill="1" applyBorder="1" applyAlignment="1">
      <alignment horizontal="right"/>
    </xf>
    <xf numFmtId="170" fontId="40" fillId="5" borderId="8" xfId="9" applyNumberFormat="1" applyFont="1" applyFill="1" applyBorder="1" applyAlignment="1">
      <alignment horizontal="center"/>
    </xf>
    <xf numFmtId="0" fontId="21" fillId="0" borderId="0" xfId="9" applyFont="1" applyAlignment="1">
      <alignment horizontal="center"/>
    </xf>
    <xf numFmtId="0" fontId="38" fillId="0" borderId="0" xfId="0" applyFont="1" applyAlignment="1">
      <alignment horizontal="left" indent="1"/>
    </xf>
    <xf numFmtId="168" fontId="35" fillId="0" borderId="0" xfId="9" applyNumberFormat="1" applyFont="1" applyAlignment="1">
      <alignment horizontal="right"/>
    </xf>
    <xf numFmtId="174" fontId="47" fillId="0" borderId="0" xfId="0" applyNumberFormat="1" applyFont="1"/>
    <xf numFmtId="168" fontId="47" fillId="0" borderId="0" xfId="0" applyNumberFormat="1" applyFont="1"/>
    <xf numFmtId="0" fontId="5" fillId="0" borderId="2" xfId="0" applyFont="1" applyBorder="1"/>
    <xf numFmtId="173" fontId="47" fillId="0" borderId="0" xfId="0" applyNumberFormat="1" applyFont="1"/>
    <xf numFmtId="174" fontId="5" fillId="0" borderId="3" xfId="0" applyNumberFormat="1" applyFont="1" applyBorder="1"/>
    <xf numFmtId="0" fontId="0" fillId="0" borderId="4" xfId="0" applyBorder="1"/>
    <xf numFmtId="174" fontId="21" fillId="0" borderId="0" xfId="9" applyNumberFormat="1" applyFont="1" applyAlignment="1">
      <alignment horizontal="right"/>
    </xf>
    <xf numFmtId="174" fontId="13" fillId="0" borderId="2" xfId="9" applyNumberFormat="1" applyFont="1" applyBorder="1" applyAlignment="1">
      <alignment horizontal="right"/>
    </xf>
    <xf numFmtId="168" fontId="13" fillId="0" borderId="0" xfId="9" applyNumberFormat="1" applyFont="1" applyAlignment="1">
      <alignment horizontal="right"/>
    </xf>
    <xf numFmtId="168" fontId="18" fillId="7" borderId="3" xfId="9" applyNumberFormat="1" applyFont="1" applyFill="1" applyBorder="1"/>
    <xf numFmtId="7" fontId="13" fillId="0" borderId="0" xfId="0" applyNumberFormat="1" applyFont="1"/>
    <xf numFmtId="172" fontId="18" fillId="0" borderId="0" xfId="9" applyNumberFormat="1" applyFont="1" applyAlignment="1">
      <alignment horizontal="center"/>
    </xf>
    <xf numFmtId="168" fontId="26" fillId="5" borderId="8" xfId="9" applyNumberFormat="1" applyFont="1" applyFill="1" applyBorder="1" applyAlignment="1">
      <alignment horizontal="right"/>
    </xf>
    <xf numFmtId="170" fontId="26" fillId="5" borderId="8" xfId="9" applyNumberFormat="1" applyFont="1" applyFill="1" applyBorder="1" applyAlignment="1">
      <alignment horizontal="right"/>
    </xf>
    <xf numFmtId="183" fontId="13" fillId="0" borderId="0" xfId="9" applyNumberFormat="1" applyFont="1"/>
    <xf numFmtId="168" fontId="40" fillId="5" borderId="8" xfId="9" applyNumberFormat="1" applyFont="1" applyFill="1" applyBorder="1" applyAlignment="1">
      <alignment horizontal="right"/>
    </xf>
    <xf numFmtId="168" fontId="20" fillId="5" borderId="8" xfId="9" applyNumberFormat="1" applyFont="1" applyFill="1" applyBorder="1" applyAlignment="1">
      <alignment horizontal="center"/>
    </xf>
    <xf numFmtId="0" fontId="48" fillId="0" borderId="0" xfId="9" applyFont="1" applyAlignment="1">
      <alignment horizontal="center"/>
    </xf>
    <xf numFmtId="174" fontId="23" fillId="5" borderId="8" xfId="9" applyNumberFormat="1" applyFont="1" applyFill="1" applyBorder="1" applyAlignment="1">
      <alignment horizontal="center"/>
    </xf>
    <xf numFmtId="174" fontId="27" fillId="5" borderId="8" xfId="9" applyNumberFormat="1" applyFont="1" applyFill="1" applyBorder="1" applyAlignment="1">
      <alignment horizontal="right"/>
    </xf>
    <xf numFmtId="167" fontId="16" fillId="0" borderId="0" xfId="9" applyNumberFormat="1" applyFont="1"/>
    <xf numFmtId="174" fontId="40" fillId="5" borderId="8" xfId="9" applyNumberFormat="1" applyFont="1" applyFill="1" applyBorder="1" applyAlignment="1">
      <alignment horizontal="center"/>
    </xf>
    <xf numFmtId="167" fontId="34" fillId="0" borderId="0" xfId="9" applyNumberFormat="1" applyFont="1" applyAlignment="1">
      <alignment horizontal="right"/>
    </xf>
    <xf numFmtId="176" fontId="34" fillId="0" borderId="0" xfId="9" applyNumberFormat="1" applyFont="1" applyAlignment="1">
      <alignment horizontal="right"/>
    </xf>
    <xf numFmtId="174" fontId="20" fillId="5" borderId="8" xfId="9" applyNumberFormat="1" applyFont="1" applyFill="1" applyBorder="1" applyAlignment="1">
      <alignment horizontal="center"/>
    </xf>
    <xf numFmtId="167" fontId="23" fillId="0" borderId="0" xfId="9" applyNumberFormat="1" applyFont="1"/>
    <xf numFmtId="0" fontId="18" fillId="0" borderId="2" xfId="0" applyFont="1" applyBorder="1" applyAlignment="1">
      <alignment horizontal="left" indent="1"/>
    </xf>
    <xf numFmtId="17" fontId="21" fillId="5" borderId="8" xfId="9" applyNumberFormat="1" applyFont="1" applyFill="1" applyBorder="1" applyAlignment="1">
      <alignment horizontal="center"/>
    </xf>
    <xf numFmtId="0" fontId="16" fillId="0" borderId="2" xfId="9" applyFont="1" applyBorder="1" applyAlignment="1">
      <alignment horizontal="left" indent="1"/>
    </xf>
    <xf numFmtId="173" fontId="23" fillId="0" borderId="0" xfId="0" applyNumberFormat="1" applyFont="1"/>
    <xf numFmtId="173" fontId="19" fillId="0" borderId="2" xfId="0" applyNumberFormat="1" applyFont="1" applyBorder="1"/>
    <xf numFmtId="0" fontId="23" fillId="0" borderId="0" xfId="0" applyFont="1"/>
    <xf numFmtId="175" fontId="23" fillId="0" borderId="0" xfId="0" applyNumberFormat="1" applyFont="1"/>
    <xf numFmtId="175" fontId="19" fillId="0" borderId="2" xfId="0" applyNumberFormat="1" applyFont="1" applyBorder="1"/>
    <xf numFmtId="178" fontId="23" fillId="0" borderId="0" xfId="0" applyNumberFormat="1" applyFont="1"/>
    <xf numFmtId="178" fontId="19" fillId="0" borderId="2" xfId="0" applyNumberFormat="1" applyFont="1" applyBorder="1"/>
    <xf numFmtId="175" fontId="19" fillId="0" borderId="0" xfId="0" applyNumberFormat="1" applyFont="1"/>
    <xf numFmtId="175" fontId="19" fillId="0" borderId="3" xfId="0" applyNumberFormat="1" applyFont="1" applyBorder="1"/>
    <xf numFmtId="167" fontId="21" fillId="0" borderId="0" xfId="9" applyNumberFormat="1" applyFont="1"/>
    <xf numFmtId="173" fontId="26" fillId="5" borderId="8" xfId="9" applyNumberFormat="1" applyFont="1" applyFill="1" applyBorder="1" applyAlignment="1">
      <alignment horizontal="center"/>
    </xf>
    <xf numFmtId="173" fontId="23" fillId="0" borderId="0" xfId="9" applyNumberFormat="1" applyFont="1"/>
    <xf numFmtId="0" fontId="17" fillId="0" borderId="0" xfId="0" applyFont="1" applyAlignment="1">
      <alignment horizontal="left" indent="2"/>
    </xf>
    <xf numFmtId="168" fontId="40" fillId="0" borderId="0" xfId="0" applyNumberFormat="1" applyFont="1"/>
    <xf numFmtId="0" fontId="27" fillId="0" borderId="0" xfId="0" applyFont="1" applyAlignment="1">
      <alignment horizontal="left" indent="1"/>
    </xf>
    <xf numFmtId="0" fontId="27" fillId="0" borderId="0" xfId="0" applyFont="1"/>
    <xf numFmtId="168" fontId="27" fillId="0" borderId="0" xfId="0" applyNumberFormat="1" applyFont="1"/>
    <xf numFmtId="168" fontId="29" fillId="5" borderId="3" xfId="0" applyNumberFormat="1" applyFont="1" applyFill="1" applyBorder="1"/>
    <xf numFmtId="168" fontId="5" fillId="0" borderId="3" xfId="0" applyNumberFormat="1" applyFont="1" applyBorder="1"/>
    <xf numFmtId="168" fontId="0" fillId="0" borderId="0" xfId="0" applyNumberFormat="1" applyAlignment="1">
      <alignment horizontal="right"/>
    </xf>
    <xf numFmtId="185" fontId="0" fillId="0" borderId="0" xfId="0" applyNumberFormat="1"/>
    <xf numFmtId="185" fontId="5" fillId="0" borderId="3" xfId="0" applyNumberFormat="1" applyFont="1" applyBorder="1"/>
    <xf numFmtId="0" fontId="49" fillId="0" borderId="3" xfId="0" applyFont="1" applyBorder="1"/>
    <xf numFmtId="168" fontId="50" fillId="5" borderId="3" xfId="0" applyNumberFormat="1" applyFont="1" applyFill="1" applyBorder="1"/>
    <xf numFmtId="173" fontId="49" fillId="0" borderId="3" xfId="0" applyNumberFormat="1" applyFont="1" applyBorder="1"/>
    <xf numFmtId="168" fontId="49" fillId="0" borderId="3" xfId="0" applyNumberFormat="1" applyFont="1" applyBorder="1"/>
    <xf numFmtId="0" fontId="13" fillId="0" borderId="0" xfId="0" applyFont="1" applyAlignment="1">
      <alignment horizontal="left" indent="2"/>
    </xf>
    <xf numFmtId="168" fontId="13" fillId="0" borderId="0" xfId="9" applyNumberFormat="1" applyFont="1"/>
    <xf numFmtId="17" fontId="27" fillId="5" borderId="8" xfId="9" applyNumberFormat="1" applyFont="1" applyFill="1" applyBorder="1" applyAlignment="1">
      <alignment horizontal="center"/>
    </xf>
    <xf numFmtId="0" fontId="47" fillId="0" borderId="0" xfId="0" applyFont="1"/>
    <xf numFmtId="185" fontId="51" fillId="0" borderId="3" xfId="0" applyNumberFormat="1" applyFont="1" applyBorder="1"/>
    <xf numFmtId="186" fontId="21" fillId="5" borderId="8" xfId="9" applyNumberFormat="1" applyFont="1" applyFill="1" applyBorder="1" applyAlignment="1">
      <alignment horizontal="center"/>
    </xf>
    <xf numFmtId="174" fontId="20" fillId="0" borderId="0" xfId="9" applyNumberFormat="1" applyFont="1" applyAlignment="1">
      <alignment horizontal="center"/>
    </xf>
    <xf numFmtId="186" fontId="21" fillId="0" borderId="0" xfId="9" applyNumberFormat="1" applyFont="1" applyAlignment="1">
      <alignment horizontal="center"/>
    </xf>
    <xf numFmtId="170" fontId="17" fillId="0" borderId="8" xfId="9" applyNumberFormat="1" applyFont="1" applyBorder="1" applyAlignment="1">
      <alignment horizontal="center"/>
    </xf>
    <xf numFmtId="17" fontId="26" fillId="0" borderId="0" xfId="9" applyNumberFormat="1" applyFont="1" applyAlignment="1">
      <alignment horizontal="center"/>
    </xf>
    <xf numFmtId="167" fontId="52" fillId="0" borderId="0" xfId="9" applyNumberFormat="1" applyFont="1"/>
    <xf numFmtId="167" fontId="52" fillId="0" borderId="1" xfId="9" applyNumberFormat="1" applyFont="1" applyBorder="1"/>
    <xf numFmtId="1" fontId="21" fillId="5" borderId="8" xfId="9" applyNumberFormat="1" applyFont="1" applyFill="1" applyBorder="1"/>
    <xf numFmtId="0" fontId="13" fillId="0" borderId="21" xfId="0" applyFont="1" applyBorder="1"/>
    <xf numFmtId="0" fontId="13" fillId="0" borderId="22" xfId="0" applyFont="1" applyBorder="1"/>
    <xf numFmtId="0" fontId="13" fillId="0" borderId="23" xfId="0" applyFont="1" applyBorder="1"/>
    <xf numFmtId="0" fontId="13" fillId="0" borderId="24" xfId="0" applyFont="1" applyBorder="1"/>
    <xf numFmtId="0" fontId="13" fillId="0" borderId="25" xfId="0" applyFont="1" applyBorder="1"/>
    <xf numFmtId="0" fontId="13" fillId="0" borderId="26" xfId="0" applyFont="1" applyBorder="1"/>
    <xf numFmtId="0" fontId="13" fillId="0" borderId="27" xfId="0" applyFont="1" applyBorder="1"/>
    <xf numFmtId="0" fontId="13" fillId="0" borderId="28" xfId="0" applyFont="1" applyBorder="1"/>
    <xf numFmtId="0" fontId="53" fillId="0" borderId="0" xfId="0" applyFont="1" applyAlignment="1">
      <alignment horizontal="center"/>
    </xf>
    <xf numFmtId="17" fontId="54" fillId="0" borderId="0" xfId="9" applyNumberFormat="1" applyFont="1" applyAlignment="1">
      <alignment horizontal="center"/>
    </xf>
    <xf numFmtId="174" fontId="26" fillId="5" borderId="8" xfId="9" applyNumberFormat="1" applyFont="1" applyFill="1" applyBorder="1" applyAlignment="1">
      <alignment horizontal="center"/>
    </xf>
    <xf numFmtId="17" fontId="40" fillId="5" borderId="8" xfId="9" applyNumberFormat="1" applyFont="1" applyFill="1" applyBorder="1" applyAlignment="1">
      <alignment horizontal="center"/>
    </xf>
    <xf numFmtId="173" fontId="34" fillId="0" borderId="0" xfId="9" applyNumberFormat="1" applyFont="1"/>
    <xf numFmtId="0" fontId="55" fillId="0" borderId="0" xfId="0" applyFont="1"/>
    <xf numFmtId="0" fontId="13" fillId="0" borderId="0" xfId="0" applyFont="1" applyFill="1"/>
    <xf numFmtId="0" fontId="23" fillId="0" borderId="0" xfId="0" applyFont="1" applyAlignment="1">
      <alignment horizontal="right" vertical="center"/>
    </xf>
    <xf numFmtId="44" fontId="23" fillId="0" borderId="0" xfId="1" applyFont="1"/>
  </cellXfs>
  <cellStyles count="11">
    <cellStyle name="Comma 2" xfId="3" xr:uid="{65288139-3E4A-1E42-82DB-68C4CC399D53}"/>
    <cellStyle name="Comma 3" xfId="4" xr:uid="{76CCA31A-4F94-364C-8139-06239312B09B}"/>
    <cellStyle name="Currency 2" xfId="6" xr:uid="{B6E99CAF-E271-DD47-BDEE-36560A6427CD}"/>
    <cellStyle name="Currency 3" xfId="10" xr:uid="{485F9D03-43C8-4857-B1CE-CE696D935A8C}"/>
    <cellStyle name="Currency 9" xfId="1" xr:uid="{5D5C6073-53B3-1545-940F-2036C14CE3A9}"/>
    <cellStyle name="Normal" xfId="0" builtinId="0"/>
    <cellStyle name="Normal 2" xfId="2" xr:uid="{41FD15B5-F201-B146-BB2A-D2A5BE534680}"/>
    <cellStyle name="Normal 2 2" xfId="7" xr:uid="{24FF98A1-06BC-0246-932B-7C97A4645102}"/>
    <cellStyle name="Normal 2 3" xfId="9" xr:uid="{49B5830D-BF65-4A58-8FE7-F30BE25F2C58}"/>
    <cellStyle name="Normal 3" xfId="8" xr:uid="{B9960051-C55D-4CBB-ACE2-25EAAA9BC567}"/>
    <cellStyle name="Percent 2" xfId="5" xr:uid="{82B479CF-A37A-C940-A206-7F92F7791AEC}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numFmt numFmtId="14" formatCode="0.00%"/>
    </dxf>
    <dxf>
      <numFmt numFmtId="14" formatCode="0.0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rwingriffith_1_2/Documents/IMBIOTECHNOLOGIES/BUSINESS%20DEVELOPMENT/OPERATION%20CANNONBALL/PRO%20FORMAS/IMB%20Financial%20Model%20v11%20(002)%20OPCANON%20Nov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</sheetNames>
    <sheetDataSet>
      <sheetData sheetId="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Irwin Griffith" id="{4B76F23D-BF01-4821-B3D3-4EFE8EFAF747}" userId="fde50a88bb587356" providerId="Windows Live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6872671-AC09-43CB-8931-82E17FEF100B}" name="Table1" displayName="Table1" ref="B6:G12" totalsRowShown="0">
  <autoFilter ref="B6:G12" xr:uid="{B6872671-AC09-43CB-8931-82E17FEF100B}"/>
  <tableColumns count="6">
    <tableColumn id="1" xr3:uid="{FFC00051-33C8-43DB-9FD1-20944FFCB666}" name="Column1"/>
    <tableColumn id="2" xr3:uid="{BBD60A2B-F751-49C4-BE88-B5C51849D727}" name="2012"/>
    <tableColumn id="3" xr3:uid="{5FA0E9A8-FCE2-433B-805B-DEB84CDB1D72}" name="2016"/>
    <tableColumn id="4" xr3:uid="{EF1EB27B-87C2-4428-9DA4-E3AF1824D228}" name="2022"/>
    <tableColumn id="5" xr3:uid="{487F3F0E-D314-43C3-A7C6-098E8312AB40}" name="Column2" dataDxfId="4">
      <calculatedColumnFormula>E7/$E$12</calculatedColumnFormula>
    </tableColumn>
    <tableColumn id="6" xr3:uid="{5B7EC60C-DF0A-47B6-B10D-6CB3EC0F7595}" name="Column3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2" dT="2023-05-08T22:56:36.68" personId="{4B76F23D-BF01-4821-B3D3-4EFE8EFAF747}" id="{1F6259EF-5D1C-4800-8CBA-3C12E190CD07}">
    <text xml:space="preserve">2 May 22 quote
150 gm x $4.80/gm + 150 gm X $4.20/gm
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54A58-0BEC-4328-9441-504A0350D831}">
  <dimension ref="A1:B1"/>
  <sheetViews>
    <sheetView workbookViewId="0"/>
  </sheetViews>
  <sheetFormatPr defaultColWidth="8.875" defaultRowHeight="15.75" x14ac:dyDescent="0.25"/>
  <sheetData>
    <row r="1" spans="1:2" x14ac:dyDescent="0.25">
      <c r="B1" t="s">
        <v>170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51AA4-F423-4C86-9016-D29C8D32C344}">
  <sheetPr>
    <tabColor rgb="FF0070C0"/>
  </sheetPr>
  <dimension ref="B2:T108"/>
  <sheetViews>
    <sheetView showGridLines="0" tabSelected="1" topLeftCell="A21" zoomScale="85" zoomScaleNormal="85" workbookViewId="0">
      <selection activeCell="A20" sqref="A20"/>
    </sheetView>
  </sheetViews>
  <sheetFormatPr defaultColWidth="9" defaultRowHeight="12.75" x14ac:dyDescent="0.2"/>
  <cols>
    <col min="1" max="1" width="1.625" style="62" customWidth="1"/>
    <col min="2" max="2" width="2.5" style="62" customWidth="1"/>
    <col min="3" max="3" width="35.125" style="62" bestFit="1" customWidth="1"/>
    <col min="4" max="8" width="12.625" style="62" customWidth="1"/>
    <col min="9" max="9" width="19" style="62" bestFit="1" customWidth="1"/>
    <col min="10" max="10" width="6.125" style="62" customWidth="1"/>
    <col min="11" max="11" width="29.625" style="62" bestFit="1" customWidth="1"/>
    <col min="12" max="16" width="12.625" style="62" customWidth="1"/>
    <col min="17" max="17" width="9" style="62" customWidth="1"/>
    <col min="18" max="18" width="2.125" style="62" customWidth="1"/>
    <col min="19" max="19" width="9" style="62"/>
    <col min="20" max="20" width="2.125" style="62" customWidth="1"/>
    <col min="21" max="16384" width="9" style="62"/>
  </cols>
  <sheetData>
    <row r="2" spans="2:20" x14ac:dyDescent="0.2">
      <c r="B2" s="4" t="s">
        <v>373</v>
      </c>
      <c r="C2" s="4"/>
      <c r="D2" s="4"/>
      <c r="E2" s="5"/>
      <c r="F2" s="5"/>
      <c r="G2" s="5"/>
      <c r="H2" s="5"/>
      <c r="I2" s="5"/>
      <c r="J2" s="5"/>
      <c r="K2" s="6"/>
      <c r="L2" s="6"/>
      <c r="M2" s="6"/>
      <c r="N2" s="6"/>
      <c r="O2" s="6"/>
      <c r="P2" s="6"/>
    </row>
    <row r="3" spans="2:20" x14ac:dyDescent="0.2">
      <c r="B3" s="8" t="s">
        <v>441</v>
      </c>
      <c r="C3" s="8"/>
      <c r="D3" s="9"/>
      <c r="E3" s="5"/>
      <c r="F3" s="5"/>
      <c r="G3" s="5"/>
      <c r="H3" s="5"/>
      <c r="I3" s="5"/>
      <c r="J3" s="5"/>
      <c r="K3" s="6"/>
      <c r="L3" s="6"/>
      <c r="M3" s="6"/>
      <c r="N3" s="6"/>
      <c r="O3" s="6"/>
      <c r="P3" s="6"/>
    </row>
    <row r="5" spans="2:20" x14ac:dyDescent="0.2">
      <c r="B5" s="11" t="s">
        <v>211</v>
      </c>
      <c r="C5" s="11"/>
      <c r="D5" s="11"/>
      <c r="E5" s="11"/>
      <c r="F5" s="11"/>
      <c r="G5" s="11"/>
      <c r="H5" s="11"/>
      <c r="I5" s="11"/>
      <c r="K5" s="164" t="s">
        <v>440</v>
      </c>
      <c r="L5" s="12"/>
      <c r="M5" s="12"/>
      <c r="N5" s="12"/>
      <c r="O5" s="12"/>
      <c r="P5" s="12"/>
    </row>
    <row r="6" spans="2:20" x14ac:dyDescent="0.2">
      <c r="L6" s="10"/>
      <c r="M6" s="10"/>
      <c r="N6" s="10"/>
      <c r="O6" s="10"/>
      <c r="P6" s="10"/>
    </row>
    <row r="7" spans="2:20" ht="13.5" thickBot="1" x14ac:dyDescent="0.25">
      <c r="C7" s="35" t="s">
        <v>45</v>
      </c>
      <c r="D7" s="36"/>
      <c r="E7" s="37">
        <v>1.35</v>
      </c>
      <c r="L7" s="17">
        <v>45657</v>
      </c>
      <c r="M7" s="17">
        <f>EOMONTH(L7,12)</f>
        <v>46022</v>
      </c>
      <c r="N7" s="17">
        <f>EOMONTH(M7,12)</f>
        <v>46387</v>
      </c>
      <c r="O7" s="17">
        <f>EOMONTH(N7,12)</f>
        <v>46752</v>
      </c>
      <c r="P7" s="17">
        <f>EOMONTH(O7,12)</f>
        <v>47118</v>
      </c>
    </row>
    <row r="8" spans="2:20" x14ac:dyDescent="0.2">
      <c r="L8" s="44">
        <v>1</v>
      </c>
      <c r="M8" s="44">
        <f t="shared" ref="M8:P8" si="0">L8+1</f>
        <v>2</v>
      </c>
      <c r="N8" s="44">
        <f t="shared" si="0"/>
        <v>3</v>
      </c>
      <c r="O8" s="44">
        <f t="shared" si="0"/>
        <v>4</v>
      </c>
      <c r="P8" s="44">
        <f t="shared" si="0"/>
        <v>5</v>
      </c>
    </row>
    <row r="9" spans="2:20" x14ac:dyDescent="0.2">
      <c r="B9" s="11" t="s">
        <v>376</v>
      </c>
      <c r="C9" s="11"/>
      <c r="D9" s="11"/>
      <c r="E9" s="11"/>
      <c r="F9" s="11"/>
      <c r="G9" s="11"/>
      <c r="H9" s="11"/>
      <c r="I9" s="11"/>
      <c r="K9" s="165" t="s">
        <v>436</v>
      </c>
      <c r="L9" s="21">
        <f t="shared" ref="L9:P9" si="1">L7</f>
        <v>45657</v>
      </c>
      <c r="M9" s="21">
        <f t="shared" si="1"/>
        <v>46022</v>
      </c>
      <c r="N9" s="21">
        <f t="shared" si="1"/>
        <v>46387</v>
      </c>
      <c r="O9" s="21">
        <f t="shared" si="1"/>
        <v>46752</v>
      </c>
      <c r="P9" s="21">
        <f t="shared" si="1"/>
        <v>47118</v>
      </c>
      <c r="R9" s="324"/>
      <c r="S9" s="325"/>
      <c r="T9" s="326"/>
    </row>
    <row r="10" spans="2:20" x14ac:dyDescent="0.2">
      <c r="R10" s="327"/>
      <c r="S10" s="332" t="s">
        <v>478</v>
      </c>
      <c r="T10" s="328"/>
    </row>
    <row r="11" spans="2:20" x14ac:dyDescent="0.2">
      <c r="C11" s="64" t="s">
        <v>234</v>
      </c>
      <c r="D11" s="158"/>
      <c r="E11" s="159"/>
      <c r="F11" s="158"/>
      <c r="G11" s="158"/>
      <c r="H11" s="158"/>
      <c r="K11" s="64" t="s">
        <v>248</v>
      </c>
      <c r="L11" s="158"/>
      <c r="M11" s="159"/>
      <c r="N11" s="158"/>
      <c r="O11" s="158"/>
      <c r="P11" s="158"/>
      <c r="R11" s="327"/>
      <c r="S11" s="333" t="s">
        <v>23</v>
      </c>
      <c r="T11" s="328"/>
    </row>
    <row r="12" spans="2:20" x14ac:dyDescent="0.2">
      <c r="D12" s="160">
        <v>1</v>
      </c>
      <c r="E12" s="160">
        <v>2</v>
      </c>
      <c r="F12" s="160">
        <v>3</v>
      </c>
      <c r="G12" s="160">
        <v>4</v>
      </c>
      <c r="H12" s="160">
        <v>5</v>
      </c>
      <c r="K12" s="167"/>
      <c r="L12" s="168"/>
      <c r="M12" s="168"/>
      <c r="N12" s="168"/>
      <c r="O12" s="168"/>
      <c r="P12" s="168"/>
      <c r="R12" s="327"/>
      <c r="S12" s="333">
        <v>45322</v>
      </c>
      <c r="T12" s="328"/>
    </row>
    <row r="13" spans="2:20" x14ac:dyDescent="0.2">
      <c r="C13" s="23" t="s">
        <v>76</v>
      </c>
      <c r="D13" s="34">
        <v>45322</v>
      </c>
      <c r="E13" s="10"/>
      <c r="F13" s="10"/>
      <c r="G13" s="10"/>
      <c r="K13" s="68" t="s">
        <v>455</v>
      </c>
      <c r="R13" s="327"/>
      <c r="S13" s="333">
        <f>EOMONTH(S12,1)</f>
        <v>45351</v>
      </c>
      <c r="T13" s="328"/>
    </row>
    <row r="14" spans="2:20" x14ac:dyDescent="0.2">
      <c r="C14" s="23" t="s">
        <v>77</v>
      </c>
      <c r="D14" s="34">
        <v>45322</v>
      </c>
      <c r="E14" s="10"/>
      <c r="F14" s="10"/>
      <c r="G14" s="10"/>
      <c r="K14" s="63" t="s">
        <v>429</v>
      </c>
      <c r="L14" s="285">
        <f>INDEX('Sales, COGS, Sales Team'!$BF$17:$BJ$117,MATCH('Key Assumptions + Summary'!$K14,'Sales, COGS, Sales Team'!$C$17:$C$117,0),MATCH('Key Assumptions + Summary'!L$7,'Sales, COGS, Sales Team'!$BF$11:$BJ$11,0))/1000</f>
        <v>0.36843749999999997</v>
      </c>
      <c r="M14" s="285">
        <f>INDEX('Sales, COGS, Sales Team'!$BF$17:$BJ$117,MATCH('Key Assumptions + Summary'!$K14,'Sales, COGS, Sales Team'!$C$17:$C$117,0),MATCH('Key Assumptions + Summary'!M$7,'Sales, COGS, Sales Team'!$BF$11:$BJ$11,0))/1000</f>
        <v>2.1262500000000002</v>
      </c>
      <c r="N14" s="285">
        <f>INDEX('Sales, COGS, Sales Team'!$BF$17:$BJ$117,MATCH('Key Assumptions + Summary'!$K14,'Sales, COGS, Sales Team'!$C$17:$C$117,0),MATCH('Key Assumptions + Summary'!N$7,'Sales, COGS, Sales Team'!$BF$11:$BJ$11,0))/1000</f>
        <v>3.78</v>
      </c>
      <c r="O14" s="285">
        <f>INDEX('Sales, COGS, Sales Team'!$BF$17:$BJ$117,MATCH('Key Assumptions + Summary'!$K14,'Sales, COGS, Sales Team'!$C$17:$C$117,0),MATCH('Key Assumptions + Summary'!O$7,'Sales, COGS, Sales Team'!$BF$11:$BJ$11,0))/1000</f>
        <v>7.38</v>
      </c>
      <c r="P14" s="285">
        <f>INDEX('Sales, COGS, Sales Team'!$BF$17:$BJ$117,MATCH('Key Assumptions + Summary'!$K14,'Sales, COGS, Sales Team'!$C$17:$C$117,0),MATCH('Key Assumptions + Summary'!P$7,'Sales, COGS, Sales Team'!$BF$11:$BJ$11,0))/1000</f>
        <v>12.78</v>
      </c>
      <c r="R14" s="327"/>
      <c r="S14" s="333">
        <f t="shared" ref="S14:S36" si="2">EOMONTH(S13,1)</f>
        <v>45382</v>
      </c>
      <c r="T14" s="328"/>
    </row>
    <row r="15" spans="2:20" x14ac:dyDescent="0.2">
      <c r="C15" s="23" t="s">
        <v>78</v>
      </c>
      <c r="D15" s="34">
        <v>45322</v>
      </c>
      <c r="E15" s="10"/>
      <c r="F15" s="10"/>
      <c r="G15" s="10"/>
      <c r="K15" s="63" t="s">
        <v>424</v>
      </c>
      <c r="L15" s="285">
        <f>INDEX('Sales, COGS, Sales Team'!$BF$17:$BJ$117,MATCH('Key Assumptions + Summary'!$K15,'Sales, COGS, Sales Team'!$C$17:$C$117,0),MATCH('Key Assumptions + Summary'!L$7,'Sales, COGS, Sales Team'!$BF$11:$BJ$11,0))/1000</f>
        <v>1.8394592999999999</v>
      </c>
      <c r="M15" s="285">
        <f>INDEX('Sales, COGS, Sales Team'!$BF$17:$BJ$117,MATCH('Key Assumptions + Summary'!$K15,'Sales, COGS, Sales Team'!$C$17:$C$117,0),MATCH('Key Assumptions + Summary'!M$7,'Sales, COGS, Sales Team'!$BF$11:$BJ$11,0))/1000</f>
        <v>8.8185929999999999</v>
      </c>
      <c r="N15" s="285">
        <f>INDEX('Sales, COGS, Sales Team'!$BF$17:$BJ$117,MATCH('Key Assumptions + Summary'!$K15,'Sales, COGS, Sales Team'!$C$17:$C$117,0),MATCH('Key Assumptions + Summary'!N$7,'Sales, COGS, Sales Team'!$BF$11:$BJ$11,0))/1000</f>
        <v>17.22</v>
      </c>
      <c r="O15" s="285">
        <f>INDEX('Sales, COGS, Sales Team'!$BF$17:$BJ$117,MATCH('Key Assumptions + Summary'!$K15,'Sales, COGS, Sales Team'!$C$17:$C$117,0),MATCH('Key Assumptions + Summary'!O$7,'Sales, COGS, Sales Team'!$BF$11:$BJ$11,0))/1000</f>
        <v>36.119999999999997</v>
      </c>
      <c r="P15" s="285">
        <f>INDEX('Sales, COGS, Sales Team'!$BF$17:$BJ$117,MATCH('Key Assumptions + Summary'!$K15,'Sales, COGS, Sales Team'!$C$17:$C$117,0),MATCH('Key Assumptions + Summary'!P$7,'Sales, COGS, Sales Team'!$BF$11:$BJ$11,0))/1000</f>
        <v>71.819999999999993</v>
      </c>
      <c r="R15" s="327"/>
      <c r="S15" s="333">
        <f t="shared" si="2"/>
        <v>45412</v>
      </c>
      <c r="T15" s="328"/>
    </row>
    <row r="16" spans="2:20" x14ac:dyDescent="0.2">
      <c r="C16" s="23" t="s">
        <v>372</v>
      </c>
      <c r="D16" s="112">
        <v>2</v>
      </c>
      <c r="E16" s="112">
        <v>5</v>
      </c>
      <c r="F16" s="112">
        <v>10</v>
      </c>
      <c r="G16" s="112">
        <v>25</v>
      </c>
      <c r="H16" s="112">
        <v>40</v>
      </c>
      <c r="I16" s="155"/>
      <c r="K16" s="79" t="s">
        <v>430</v>
      </c>
      <c r="L16" s="286">
        <f>INDEX('Sales, COGS, Sales Team'!$BF$17:$BJ$117,MATCH('Key Assumptions + Summary'!$K16,'Sales, COGS, Sales Team'!$C$17:$C$117,0),MATCH('Key Assumptions + Summary'!L$7,'Sales, COGS, Sales Team'!$BF$11:$BJ$11,0))/1000</f>
        <v>2.2078967999999999</v>
      </c>
      <c r="M16" s="286">
        <f>INDEX('Sales, COGS, Sales Team'!$BF$17:$BJ$117,MATCH('Key Assumptions + Summary'!$K16,'Sales, COGS, Sales Team'!$C$17:$C$117,0),MATCH('Key Assumptions + Summary'!M$7,'Sales, COGS, Sales Team'!$BF$11:$BJ$11,0))/1000</f>
        <v>10.944843000000001</v>
      </c>
      <c r="N16" s="286">
        <f>INDEX('Sales, COGS, Sales Team'!$BF$17:$BJ$117,MATCH('Key Assumptions + Summary'!$K16,'Sales, COGS, Sales Team'!$C$17:$C$117,0),MATCH('Key Assumptions + Summary'!N$7,'Sales, COGS, Sales Team'!$BF$11:$BJ$11,0))/1000</f>
        <v>21</v>
      </c>
      <c r="O16" s="286">
        <f>INDEX('Sales, COGS, Sales Team'!$BF$17:$BJ$117,MATCH('Key Assumptions + Summary'!$K16,'Sales, COGS, Sales Team'!$C$17:$C$117,0),MATCH('Key Assumptions + Summary'!O$7,'Sales, COGS, Sales Team'!$BF$11:$BJ$11,0))/1000</f>
        <v>43.5</v>
      </c>
      <c r="P16" s="286">
        <f>INDEX('Sales, COGS, Sales Team'!$BF$17:$BJ$117,MATCH('Key Assumptions + Summary'!$K16,'Sales, COGS, Sales Team'!$C$17:$C$117,0),MATCH('Key Assumptions + Summary'!P$7,'Sales, COGS, Sales Team'!$BF$11:$BJ$11,0))/1000</f>
        <v>84.6</v>
      </c>
      <c r="R16" s="327"/>
      <c r="S16" s="333">
        <f t="shared" si="2"/>
        <v>45443</v>
      </c>
      <c r="T16" s="328"/>
    </row>
    <row r="17" spans="3:20" x14ac:dyDescent="0.2">
      <c r="C17" s="297" t="s">
        <v>475</v>
      </c>
      <c r="D17" s="298">
        <f>'Sales, COGS, Sales Team'!BF110</f>
        <v>6.7604110329908068E-2</v>
      </c>
      <c r="E17" s="298">
        <f>'Sales, COGS, Sales Team'!BG110</f>
        <v>0.1081665765278529</v>
      </c>
      <c r="F17" s="298">
        <f>'Sales, COGS, Sales Team'!BH110</f>
        <v>0.17577068685776095</v>
      </c>
      <c r="G17" s="298">
        <f>'Sales, COGS, Sales Team'!BI110</f>
        <v>0.37858301784748516</v>
      </c>
      <c r="H17" s="298">
        <f>'Sales, COGS, Sales Team'!BJ110</f>
        <v>0.58139534883720934</v>
      </c>
      <c r="L17" s="287"/>
      <c r="M17" s="287"/>
      <c r="N17" s="287"/>
      <c r="O17" s="287"/>
      <c r="P17" s="287"/>
      <c r="R17" s="327"/>
      <c r="S17" s="333">
        <f t="shared" si="2"/>
        <v>45473</v>
      </c>
      <c r="T17" s="328"/>
    </row>
    <row r="18" spans="3:20" x14ac:dyDescent="0.2">
      <c r="C18" s="23" t="s">
        <v>121</v>
      </c>
      <c r="D18" s="112">
        <v>30</v>
      </c>
      <c r="E18" s="155" t="s">
        <v>262</v>
      </c>
      <c r="K18" s="68" t="s">
        <v>461</v>
      </c>
      <c r="L18" s="287"/>
      <c r="M18" s="287"/>
      <c r="N18" s="287"/>
      <c r="O18" s="287"/>
      <c r="P18" s="287"/>
      <c r="R18" s="327"/>
      <c r="S18" s="333">
        <f t="shared" si="2"/>
        <v>45504</v>
      </c>
      <c r="T18" s="328"/>
    </row>
    <row r="19" spans="3:20" x14ac:dyDescent="0.2">
      <c r="C19" s="23" t="s">
        <v>108</v>
      </c>
      <c r="D19" s="109">
        <v>400</v>
      </c>
      <c r="E19" s="155" t="s">
        <v>235</v>
      </c>
      <c r="K19" s="63" t="s">
        <v>254</v>
      </c>
      <c r="L19" s="285">
        <f>INDEX('Sales, COGS, Sales Team'!$BF$17:$BJ$117,MATCH('Key Assumptions + Summary'!$K19,'Sales, COGS, Sales Team'!$C$17:$C$117,0),MATCH('Key Assumptions + Summary'!L$7,'Sales, COGS, Sales Team'!$BF$11:$BJ$11,0))/1000</f>
        <v>1201.6900386322166</v>
      </c>
      <c r="M19" s="285">
        <f>INDEX('Sales, COGS, Sales Team'!$BF$17:$BJ$117,MATCH('Key Assumptions + Summary'!$K19,'Sales, COGS, Sales Team'!$C$17:$C$117,0),MATCH('Key Assumptions + Summary'!M$7,'Sales, COGS, Sales Team'!$BF$11:$BJ$11,0))/1000</f>
        <v>1297.8252417227943</v>
      </c>
      <c r="N19" s="285">
        <f>INDEX('Sales, COGS, Sales Team'!$BF$17:$BJ$117,MATCH('Key Assumptions + Summary'!$K19,'Sales, COGS, Sales Team'!$C$17:$C$117,0),MATCH('Key Assumptions + Summary'!N$7,'Sales, COGS, Sales Team'!$BF$11:$BJ$11,0))/1000</f>
        <v>1401.6512610606173</v>
      </c>
      <c r="O19" s="285">
        <f>INDEX('Sales, COGS, Sales Team'!$BF$17:$BJ$117,MATCH('Key Assumptions + Summary'!$K19,'Sales, COGS, Sales Team'!$C$17:$C$117,0),MATCH('Key Assumptions + Summary'!O$7,'Sales, COGS, Sales Team'!$BF$11:$BJ$11,0))/1000</f>
        <v>1513.7833619454668</v>
      </c>
      <c r="P19" s="285">
        <f>INDEX('Sales, COGS, Sales Team'!$BF$17:$BJ$117,MATCH('Key Assumptions + Summary'!$K19,'Sales, COGS, Sales Team'!$C$17:$C$117,0),MATCH('Key Assumptions + Summary'!P$7,'Sales, COGS, Sales Team'!$BF$11:$BJ$11,0))/1000</f>
        <v>1634.8860309011045</v>
      </c>
      <c r="R19" s="327"/>
      <c r="S19" s="333">
        <f t="shared" si="2"/>
        <v>45535</v>
      </c>
      <c r="T19" s="328"/>
    </row>
    <row r="20" spans="3:20" x14ac:dyDescent="0.2">
      <c r="E20" s="155"/>
      <c r="K20" s="63" t="s">
        <v>427</v>
      </c>
      <c r="L20" s="285">
        <f>INDEX('Sales, COGS, Sales Team'!$BF$17:$BJ$117,MATCH('Key Assumptions + Summary'!$K20,'Sales, COGS, Sales Team'!$C$17:$C$117,0),MATCH('Key Assumptions + Summary'!L$7,'Sales, COGS, Sales Team'!$BF$11:$BJ$11,0))/1000</f>
        <v>6456.7222321896015</v>
      </c>
      <c r="M20" s="285">
        <f>INDEX('Sales, COGS, Sales Team'!$BF$17:$BJ$117,MATCH('Key Assumptions + Summary'!$K20,'Sales, COGS, Sales Team'!$C$17:$C$117,0),MATCH('Key Assumptions + Summary'!M$7,'Sales, COGS, Sales Team'!$BF$11:$BJ$11,0))/1000</f>
        <v>6973.2600107647704</v>
      </c>
      <c r="N20" s="285">
        <f>INDEX('Sales, COGS, Sales Team'!$BF$17:$BJ$117,MATCH('Key Assumptions + Summary'!$K20,'Sales, COGS, Sales Team'!$C$17:$C$117,0),MATCH('Key Assumptions + Summary'!N$7,'Sales, COGS, Sales Team'!$BF$11:$BJ$11,0))/1000</f>
        <v>7531.1208116259522</v>
      </c>
      <c r="O20" s="285">
        <f>INDEX('Sales, COGS, Sales Team'!$BF$17:$BJ$117,MATCH('Key Assumptions + Summary'!$K20,'Sales, COGS, Sales Team'!$C$17:$C$117,0),MATCH('Key Assumptions + Summary'!O$7,'Sales, COGS, Sales Team'!$BF$11:$BJ$11,0))/1000</f>
        <v>8133.6104765560285</v>
      </c>
      <c r="P20" s="285">
        <f>INDEX('Sales, COGS, Sales Team'!$BF$17:$BJ$117,MATCH('Key Assumptions + Summary'!$K20,'Sales, COGS, Sales Team'!$C$17:$C$117,0),MATCH('Key Assumptions + Summary'!P$7,'Sales, COGS, Sales Team'!$BF$11:$BJ$11,0))/1000</f>
        <v>8784.2993146805111</v>
      </c>
      <c r="R20" s="327"/>
      <c r="S20" s="333">
        <f t="shared" si="2"/>
        <v>45565</v>
      </c>
      <c r="T20" s="328"/>
    </row>
    <row r="21" spans="3:20" x14ac:dyDescent="0.2">
      <c r="C21" s="64" t="s">
        <v>236</v>
      </c>
      <c r="D21" s="158"/>
      <c r="E21" s="159"/>
      <c r="F21" s="158"/>
      <c r="G21" s="158"/>
      <c r="H21" s="158"/>
      <c r="K21" s="79" t="s">
        <v>255</v>
      </c>
      <c r="L21" s="286">
        <f>INDEX('Sales, COGS, Sales Team'!$BF$17:$BJ$117,MATCH('Key Assumptions + Summary'!$K21,'Sales, COGS, Sales Team'!$C$17:$C$117,0),MATCH('Key Assumptions + Summary'!L$7,'Sales, COGS, Sales Team'!$BF$11:$BJ$11,0))/1000</f>
        <v>7658.4122708218192</v>
      </c>
      <c r="M21" s="286">
        <f>INDEX('Sales, COGS, Sales Team'!$BF$17:$BJ$117,MATCH('Key Assumptions + Summary'!$K21,'Sales, COGS, Sales Team'!$C$17:$C$117,0),MATCH('Key Assumptions + Summary'!M$7,'Sales, COGS, Sales Team'!$BF$11:$BJ$11,0))/1000</f>
        <v>8271.0852524875645</v>
      </c>
      <c r="N21" s="286">
        <f>INDEX('Sales, COGS, Sales Team'!$BF$17:$BJ$117,MATCH('Key Assumptions + Summary'!$K21,'Sales, COGS, Sales Team'!$C$17:$C$117,0),MATCH('Key Assumptions + Summary'!N$7,'Sales, COGS, Sales Team'!$BF$11:$BJ$11,0))/1000</f>
        <v>8932.77207268657</v>
      </c>
      <c r="O21" s="286">
        <f>INDEX('Sales, COGS, Sales Team'!$BF$17:$BJ$117,MATCH('Key Assumptions + Summary'!$K21,'Sales, COGS, Sales Team'!$C$17:$C$117,0),MATCH('Key Assumptions + Summary'!O$7,'Sales, COGS, Sales Team'!$BF$11:$BJ$11,0))/1000</f>
        <v>9647.3938385014935</v>
      </c>
      <c r="P21" s="286">
        <f>INDEX('Sales, COGS, Sales Team'!$BF$17:$BJ$117,MATCH('Key Assumptions + Summary'!$K21,'Sales, COGS, Sales Team'!$C$17:$C$117,0),MATCH('Key Assumptions + Summary'!P$7,'Sales, COGS, Sales Team'!$BF$11:$BJ$11,0))/1000</f>
        <v>10419.185345581613</v>
      </c>
      <c r="R21" s="327"/>
      <c r="S21" s="333">
        <f t="shared" si="2"/>
        <v>45596</v>
      </c>
      <c r="T21" s="328"/>
    </row>
    <row r="22" spans="3:20" x14ac:dyDescent="0.2">
      <c r="D22" s="160">
        <v>1</v>
      </c>
      <c r="E22" s="160">
        <v>2</v>
      </c>
      <c r="F22" s="160">
        <v>3</v>
      </c>
      <c r="G22" s="160">
        <v>4</v>
      </c>
      <c r="H22" s="160">
        <v>5</v>
      </c>
      <c r="L22" s="287"/>
      <c r="M22" s="287"/>
      <c r="N22" s="287"/>
      <c r="O22" s="287"/>
      <c r="P22" s="287"/>
      <c r="R22" s="327"/>
      <c r="S22" s="333">
        <f t="shared" si="2"/>
        <v>45626</v>
      </c>
      <c r="T22" s="328"/>
    </row>
    <row r="23" spans="3:20" x14ac:dyDescent="0.2">
      <c r="C23" s="23" t="s">
        <v>79</v>
      </c>
      <c r="D23" s="34">
        <v>45322</v>
      </c>
      <c r="E23" s="10"/>
      <c r="F23" s="10"/>
      <c r="G23" s="10"/>
      <c r="K23" s="68" t="s">
        <v>257</v>
      </c>
      <c r="L23" s="287"/>
      <c r="M23" s="287"/>
      <c r="N23" s="287"/>
      <c r="O23" s="287"/>
      <c r="P23" s="287"/>
      <c r="R23" s="327"/>
      <c r="S23" s="333">
        <f t="shared" si="2"/>
        <v>45657</v>
      </c>
      <c r="T23" s="328"/>
    </row>
    <row r="24" spans="3:20" x14ac:dyDescent="0.2">
      <c r="C24" s="23" t="s">
        <v>81</v>
      </c>
      <c r="D24" s="34">
        <v>45322</v>
      </c>
      <c r="E24" s="10"/>
      <c r="F24" s="10"/>
      <c r="G24" s="10"/>
      <c r="K24" s="63" t="s">
        <v>369</v>
      </c>
      <c r="L24" s="290">
        <f>INDEX('Sales, COGS, Sales Team'!$BF$17:$BJ$117,MATCH('Key Assumptions + Summary'!$K24,'Sales, COGS, Sales Team'!$C$17:$C$117,0),MATCH('Key Assumptions + Summary'!L$7,'Sales, COGS, Sales Team'!$BF$11:$BJ$11,0))</f>
        <v>3.0659944590983012E-4</v>
      </c>
      <c r="M24" s="290">
        <f>INDEX('Sales, COGS, Sales Team'!$BF$17:$BJ$117,MATCH('Key Assumptions + Summary'!$K24,'Sales, COGS, Sales Team'!$C$17:$C$117,0),MATCH('Key Assumptions + Summary'!M$7,'Sales, COGS, Sales Team'!$BF$11:$BJ$11,0))</f>
        <v>1.6383176498998553E-3</v>
      </c>
      <c r="N24" s="290">
        <f>INDEX('Sales, COGS, Sales Team'!$BF$17:$BJ$117,MATCH('Key Assumptions + Summary'!$K24,'Sales, COGS, Sales Team'!$C$17:$C$117,0),MATCH('Key Assumptions + Summary'!N$7,'Sales, COGS, Sales Team'!$BF$11:$BJ$11,0))</f>
        <v>2.6968191767898862E-3</v>
      </c>
      <c r="O24" s="290">
        <f>INDEX('Sales, COGS, Sales Team'!$BF$17:$BJ$117,MATCH('Key Assumptions + Summary'!$K24,'Sales, COGS, Sales Team'!$C$17:$C$117,0),MATCH('Key Assumptions + Summary'!O$7,'Sales, COGS, Sales Team'!$BF$11:$BJ$11,0))</f>
        <v>4.8752022155372715E-3</v>
      </c>
      <c r="P24" s="290">
        <f>INDEX('Sales, COGS, Sales Team'!$BF$17:$BJ$117,MATCH('Key Assumptions + Summary'!$K24,'Sales, COGS, Sales Team'!$C$17:$C$117,0),MATCH('Key Assumptions + Summary'!P$7,'Sales, COGS, Sales Team'!$BF$11:$BJ$11,0))</f>
        <v>7.8170586563492822E-3</v>
      </c>
      <c r="R24" s="327"/>
      <c r="S24" s="333">
        <f t="shared" si="2"/>
        <v>45688</v>
      </c>
      <c r="T24" s="328"/>
    </row>
    <row r="25" spans="3:20" x14ac:dyDescent="0.2">
      <c r="C25" s="23" t="s">
        <v>80</v>
      </c>
      <c r="D25" s="34">
        <v>45473</v>
      </c>
      <c r="E25" s="7"/>
      <c r="F25" s="7"/>
      <c r="G25" s="7"/>
      <c r="K25" s="63" t="s">
        <v>428</v>
      </c>
      <c r="L25" s="290">
        <f>INDEX('Sales, COGS, Sales Team'!$BF$17:$BJ$117,MATCH('Key Assumptions + Summary'!$K25,'Sales, COGS, Sales Team'!$C$17:$C$117,0),MATCH('Key Assumptions + Summary'!L$7,'Sales, COGS, Sales Team'!$BF$11:$BJ$11,0))</f>
        <v>2.8489057355286031E-4</v>
      </c>
      <c r="M25" s="290">
        <f>INDEX('Sales, COGS, Sales Team'!$BF$17:$BJ$117,MATCH('Key Assumptions + Summary'!$K25,'Sales, COGS, Sales Team'!$C$17:$C$117,0),MATCH('Key Assumptions + Summary'!M$7,'Sales, COGS, Sales Team'!$BF$11:$BJ$11,0))</f>
        <v>1.2646298842129149E-3</v>
      </c>
      <c r="N25" s="290">
        <f>INDEX('Sales, COGS, Sales Team'!$BF$17:$BJ$117,MATCH('Key Assumptions + Summary'!$K25,'Sales, COGS, Sales Team'!$C$17:$C$117,0),MATCH('Key Assumptions + Summary'!N$7,'Sales, COGS, Sales Team'!$BF$11:$BJ$11,0))</f>
        <v>2.2865122510605752E-3</v>
      </c>
      <c r="O25" s="290">
        <f>INDEX('Sales, COGS, Sales Team'!$BF$17:$BJ$117,MATCH('Key Assumptions + Summary'!$K25,'Sales, COGS, Sales Team'!$C$17:$C$117,0),MATCH('Key Assumptions + Summary'!O$7,'Sales, COGS, Sales Team'!$BF$11:$BJ$11,0))</f>
        <v>4.440832285257666E-3</v>
      </c>
      <c r="P25" s="290">
        <f>INDEX('Sales, COGS, Sales Team'!$BF$17:$BJ$117,MATCH('Key Assumptions + Summary'!$K25,'Sales, COGS, Sales Team'!$C$17:$C$117,0),MATCH('Key Assumptions + Summary'!P$7,'Sales, COGS, Sales Team'!$BF$11:$BJ$11,0))</f>
        <v>8.175950912780585E-3</v>
      </c>
      <c r="R25" s="327"/>
      <c r="S25" s="333">
        <f t="shared" si="2"/>
        <v>45716</v>
      </c>
      <c r="T25" s="328"/>
    </row>
    <row r="26" spans="3:20" x14ac:dyDescent="0.2">
      <c r="C26" s="23" t="s">
        <v>372</v>
      </c>
      <c r="D26" s="112">
        <v>2</v>
      </c>
      <c r="E26" s="112">
        <v>10</v>
      </c>
      <c r="F26" s="112">
        <v>25</v>
      </c>
      <c r="G26" s="112">
        <v>55</v>
      </c>
      <c r="H26" s="112">
        <v>110</v>
      </c>
      <c r="K26" s="282" t="s">
        <v>370</v>
      </c>
      <c r="L26" s="291">
        <f>INDEX('Sales, COGS, Sales Team'!$BF$17:$BJ$117,MATCH('Key Assumptions + Summary'!$K26,'Sales, COGS, Sales Team'!$C$17:$C$117,0),MATCH('Key Assumptions + Summary'!L$7,'Sales, COGS, Sales Team'!$BF$11:$BJ$11,0))</f>
        <v>2.8829693700507353E-4</v>
      </c>
      <c r="M26" s="291">
        <f>INDEX('Sales, COGS, Sales Team'!$BF$17:$BJ$117,MATCH('Key Assumptions + Summary'!$K26,'Sales, COGS, Sales Team'!$C$17:$C$117,0),MATCH('Key Assumptions + Summary'!M$7,'Sales, COGS, Sales Team'!$BF$11:$BJ$11,0))</f>
        <v>1.3232656496568319E-3</v>
      </c>
      <c r="N26" s="291">
        <f>INDEX('Sales, COGS, Sales Team'!$BF$17:$BJ$117,MATCH('Key Assumptions + Summary'!$K26,'Sales, COGS, Sales Team'!$C$17:$C$117,0),MATCH('Key Assumptions + Summary'!N$7,'Sales, COGS, Sales Team'!$BF$11:$BJ$11,0))</f>
        <v>2.3508939698809708E-3</v>
      </c>
      <c r="O26" s="291">
        <f>INDEX('Sales, COGS, Sales Team'!$BF$17:$BJ$117,MATCH('Key Assumptions + Summary'!$K26,'Sales, COGS, Sales Team'!$C$17:$C$117,0),MATCH('Key Assumptions + Summary'!O$7,'Sales, COGS, Sales Team'!$BF$11:$BJ$11,0))</f>
        <v>4.5089897570468364E-3</v>
      </c>
      <c r="P26" s="291">
        <f>INDEX('Sales, COGS, Sales Team'!$BF$17:$BJ$117,MATCH('Key Assumptions + Summary'!$K26,'Sales, COGS, Sales Team'!$C$17:$C$117,0),MATCH('Key Assumptions + Summary'!P$7,'Sales, COGS, Sales Team'!$BF$11:$BJ$11,0))</f>
        <v>8.1196367272490921E-3</v>
      </c>
      <c r="R26" s="327"/>
      <c r="S26" s="333">
        <f t="shared" si="2"/>
        <v>45747</v>
      </c>
      <c r="T26" s="328"/>
    </row>
    <row r="27" spans="3:20" x14ac:dyDescent="0.2">
      <c r="C27" s="297" t="s">
        <v>475</v>
      </c>
      <c r="D27" s="298">
        <f>'Sales, COGS, Sales Team'!BF111</f>
        <v>1.4121134480647268E-3</v>
      </c>
      <c r="E27" s="298">
        <f>'Sales, COGS, Sales Team'!BG111</f>
        <v>3.6714949649682897E-3</v>
      </c>
      <c r="F27" s="298">
        <f>'Sales, COGS, Sales Team'!BH111</f>
        <v>7.9078353091624701E-3</v>
      </c>
      <c r="G27" s="298">
        <f>'Sales, COGS, Sales Team'!BI111</f>
        <v>1.6380515997550832E-2</v>
      </c>
      <c r="H27" s="298">
        <f>'Sales, COGS, Sales Team'!BJ111</f>
        <v>3.1913763926262828E-2</v>
      </c>
      <c r="R27" s="327"/>
      <c r="S27" s="333">
        <f t="shared" si="2"/>
        <v>45777</v>
      </c>
      <c r="T27" s="328"/>
    </row>
    <row r="28" spans="3:20" x14ac:dyDescent="0.2">
      <c r="C28" s="23" t="s">
        <v>121</v>
      </c>
      <c r="D28" s="112">
        <v>70</v>
      </c>
      <c r="E28" s="155" t="s">
        <v>237</v>
      </c>
      <c r="K28" s="64" t="s">
        <v>247</v>
      </c>
      <c r="L28" s="158"/>
      <c r="M28" s="159"/>
      <c r="N28" s="158"/>
      <c r="O28" s="158"/>
      <c r="P28" s="158"/>
      <c r="R28" s="327"/>
      <c r="S28" s="333">
        <f t="shared" si="2"/>
        <v>45808</v>
      </c>
      <c r="T28" s="328"/>
    </row>
    <row r="29" spans="3:20" x14ac:dyDescent="0.2">
      <c r="C29" s="23" t="s">
        <v>108</v>
      </c>
      <c r="D29" s="109">
        <v>350</v>
      </c>
      <c r="E29" s="155" t="s">
        <v>235</v>
      </c>
      <c r="R29" s="327"/>
      <c r="S29" s="333">
        <f t="shared" si="2"/>
        <v>45838</v>
      </c>
      <c r="T29" s="328"/>
    </row>
    <row r="30" spans="3:20" x14ac:dyDescent="0.2">
      <c r="E30" s="155"/>
      <c r="K30" s="22" t="s">
        <v>442</v>
      </c>
      <c r="L30" s="292">
        <f>INDEX('3-Statement Model'!$BF$16:$BJ$113,MATCH('Key Assumptions + Summary'!$K30,'3-Statement Model'!$C$16:$C$113,0),MATCH('Key Assumptions + Summary'!L$7,'3-Statement Model'!$BF$11:$BJ$11,0))/1000</f>
        <v>1068.1007692500002</v>
      </c>
      <c r="M30" s="292">
        <f>INDEX('3-Statement Model'!$BF$16:$BJ$113,MATCH('Key Assumptions + Summary'!$K30,'3-Statement Model'!$C$16:$C$113,0),MATCH('Key Assumptions + Summary'!M$7,'3-Statement Model'!$BF$11:$BJ$11,0))/1000</f>
        <v>5314.9601925000006</v>
      </c>
      <c r="N30" s="292">
        <f>INDEX('3-Statement Model'!$BF$16:$BJ$113,MATCH('Key Assumptions + Summary'!$K30,'3-Statement Model'!$C$16:$C$113,0),MATCH('Key Assumptions + Summary'!N$7,'3-Statement Model'!$BF$11:$BJ$11,0))/1000</f>
        <v>10177.65</v>
      </c>
      <c r="O30" s="292">
        <f>INDEX('3-Statement Model'!$BF$16:$BJ$113,MATCH('Key Assumptions + Summary'!$K30,'3-Statement Model'!$C$16:$C$113,0),MATCH('Key Assumptions + Summary'!O$7,'3-Statement Model'!$BF$11:$BJ$11,0))/1000</f>
        <v>21051.900000000005</v>
      </c>
      <c r="P30" s="292">
        <f>INDEX('3-Statement Model'!$BF$16:$BJ$113,MATCH('Key Assumptions + Summary'!$K30,'3-Statement Model'!$C$16:$C$113,0),MATCH('Key Assumptions + Summary'!P$7,'3-Statement Model'!$BF$11:$BJ$11,0))/1000</f>
        <v>40836.150000000009</v>
      </c>
      <c r="R30" s="327"/>
      <c r="S30" s="333">
        <f t="shared" si="2"/>
        <v>45869</v>
      </c>
      <c r="T30" s="328"/>
    </row>
    <row r="31" spans="3:20" x14ac:dyDescent="0.2">
      <c r="C31" s="64" t="s">
        <v>358</v>
      </c>
      <c r="D31" s="158"/>
      <c r="E31" s="159"/>
      <c r="F31" s="158"/>
      <c r="G31" s="158"/>
      <c r="H31" s="158"/>
      <c r="K31" s="23" t="s">
        <v>86</v>
      </c>
      <c r="L31" s="288">
        <f>INDEX('3-Statement Model'!$BF$16:$BJ$113,MATCH('Key Assumptions + Summary'!$K31,'3-Statement Model'!$C$16:$C$113,0),MATCH('Key Assumptions + Summary'!L$7,'3-Statement Model'!$BF$11:$BJ$11,0))/1000</f>
        <v>280.02205147378908</v>
      </c>
      <c r="M31" s="288">
        <f>INDEX('3-Statement Model'!$BF$16:$BJ$113,MATCH('Key Assumptions + Summary'!$K31,'3-Statement Model'!$C$16:$C$113,0),MATCH('Key Assumptions + Summary'!M$7,'3-Statement Model'!$BF$11:$BJ$11,0))/1000</f>
        <v>1388.1071750810729</v>
      </c>
      <c r="N31" s="288">
        <f>INDEX('3-Statement Model'!$BF$16:$BJ$113,MATCH('Key Assumptions + Summary'!$K31,'3-Statement Model'!$C$16:$C$113,0),MATCH('Key Assumptions + Summary'!N$7,'3-Statement Model'!$BF$11:$BJ$11,0))/1000</f>
        <v>2663.3776909090911</v>
      </c>
      <c r="O31" s="288">
        <f>INDEX('3-Statement Model'!$BF$16:$BJ$113,MATCH('Key Assumptions + Summary'!$K31,'3-Statement Model'!$C$16:$C$113,0),MATCH('Key Assumptions + Summary'!O$7,'3-Statement Model'!$BF$11:$BJ$11,0))/1000</f>
        <v>5516.9966454545456</v>
      </c>
      <c r="P31" s="288">
        <f>INDEX('3-Statement Model'!$BF$16:$BJ$113,MATCH('Key Assumptions + Summary'!$K31,'3-Statement Model'!$C$16:$C$113,0),MATCH('Key Assumptions + Summary'!P$7,'3-Statement Model'!$BF$11:$BJ$11,0))/1000</f>
        <v>10729.60726909091</v>
      </c>
      <c r="R31" s="327"/>
      <c r="S31" s="333">
        <f t="shared" si="2"/>
        <v>45900</v>
      </c>
      <c r="T31" s="328"/>
    </row>
    <row r="32" spans="3:20" x14ac:dyDescent="0.2">
      <c r="K32" s="26" t="s">
        <v>88</v>
      </c>
      <c r="L32" s="289">
        <f>INDEX('3-Statement Model'!$BF$16:$BJ$113,MATCH('Key Assumptions + Summary'!$K32,'3-Statement Model'!$C$16:$C$113,0),MATCH('Key Assumptions + Summary'!L$7,'3-Statement Model'!$BF$11:$BJ$11,0))/1000</f>
        <v>788.07871777621096</v>
      </c>
      <c r="M32" s="289">
        <f>INDEX('3-Statement Model'!$BF$16:$BJ$113,MATCH('Key Assumptions + Summary'!$K32,'3-Statement Model'!$C$16:$C$113,0),MATCH('Key Assumptions + Summary'!M$7,'3-Statement Model'!$BF$11:$BJ$11,0))/1000</f>
        <v>3926.8530174189282</v>
      </c>
      <c r="N32" s="289">
        <f>INDEX('3-Statement Model'!$BF$16:$BJ$113,MATCH('Key Assumptions + Summary'!$K32,'3-Statement Model'!$C$16:$C$113,0),MATCH('Key Assumptions + Summary'!N$7,'3-Statement Model'!$BF$11:$BJ$11,0))/1000</f>
        <v>7514.2723090909085</v>
      </c>
      <c r="O32" s="289">
        <f>INDEX('3-Statement Model'!$BF$16:$BJ$113,MATCH('Key Assumptions + Summary'!$K32,'3-Statement Model'!$C$16:$C$113,0),MATCH('Key Assumptions + Summary'!O$7,'3-Statement Model'!$BF$11:$BJ$11,0))/1000</f>
        <v>15534.903354545459</v>
      </c>
      <c r="P32" s="289">
        <f>INDEX('3-Statement Model'!$BF$16:$BJ$113,MATCH('Key Assumptions + Summary'!$K32,'3-Statement Model'!$C$16:$C$113,0),MATCH('Key Assumptions + Summary'!P$7,'3-Statement Model'!$BF$11:$BJ$11,0))/1000</f>
        <v>30106.542730909099</v>
      </c>
      <c r="R32" s="327"/>
      <c r="S32" s="333">
        <f t="shared" si="2"/>
        <v>45930</v>
      </c>
      <c r="T32" s="328"/>
    </row>
    <row r="33" spans="3:20" x14ac:dyDescent="0.2">
      <c r="C33" s="63" t="s">
        <v>360</v>
      </c>
      <c r="D33" s="251">
        <f>'Ekobi COGs - May 2023'!D116</f>
        <v>93.946303030303028</v>
      </c>
      <c r="E33" s="155" t="s">
        <v>359</v>
      </c>
      <c r="L33" s="287"/>
      <c r="M33" s="287"/>
      <c r="N33" s="287"/>
      <c r="O33" s="287"/>
      <c r="P33" s="287"/>
      <c r="R33" s="327"/>
      <c r="S33" s="333">
        <f t="shared" si="2"/>
        <v>45961</v>
      </c>
      <c r="T33" s="328"/>
    </row>
    <row r="34" spans="3:20" x14ac:dyDescent="0.2">
      <c r="C34" s="63" t="s">
        <v>360</v>
      </c>
      <c r="D34" s="250">
        <f>D33*E7</f>
        <v>126.82750909090909</v>
      </c>
      <c r="E34" s="155"/>
      <c r="K34" s="23" t="s">
        <v>2</v>
      </c>
      <c r="L34" s="288">
        <f>INDEX('3-Statement Model'!$BF$16:$BJ$113,MATCH('Key Assumptions + Summary'!$K34,'3-Statement Model'!$C$16:$C$113,0),MATCH('Key Assumptions + Summary'!L$7,'3-Statement Model'!$BF$11:$BJ$11,0))/1000</f>
        <v>1991.1190066962145</v>
      </c>
      <c r="M34" s="288">
        <f>INDEX('3-Statement Model'!$BF$16:$BJ$113,MATCH('Key Assumptions + Summary'!$K34,'3-Statement Model'!$C$16:$C$113,0),MATCH('Key Assumptions + Summary'!M$7,'3-Statement Model'!$BF$11:$BJ$11,0))/1000</f>
        <v>4077.2931054592941</v>
      </c>
      <c r="N34" s="288">
        <f>INDEX('3-Statement Model'!$BF$16:$BJ$113,MATCH('Key Assumptions + Summary'!$K34,'3-Statement Model'!$C$16:$C$113,0),MATCH('Key Assumptions + Summary'!N$7,'3-Statement Model'!$BF$11:$BJ$11,0))/1000</f>
        <v>3596.0340000000001</v>
      </c>
      <c r="O34" s="288">
        <f>INDEX('3-Statement Model'!$BF$16:$BJ$113,MATCH('Key Assumptions + Summary'!$K34,'3-Statement Model'!$C$16:$C$113,0),MATCH('Key Assumptions + Summary'!O$7,'3-Statement Model'!$BF$11:$BJ$11,0))/1000</f>
        <v>4761.4731124999998</v>
      </c>
      <c r="P34" s="288">
        <f>INDEX('3-Statement Model'!$BF$16:$BJ$113,MATCH('Key Assumptions + Summary'!$K34,'3-Statement Model'!$C$16:$C$113,0),MATCH('Key Assumptions + Summary'!P$7,'3-Statement Model'!$BF$11:$BJ$11,0))/1000</f>
        <v>6704.3081893750013</v>
      </c>
      <c r="R34" s="327"/>
      <c r="S34" s="333">
        <f t="shared" si="2"/>
        <v>45991</v>
      </c>
      <c r="T34" s="328"/>
    </row>
    <row r="35" spans="3:20" x14ac:dyDescent="0.2">
      <c r="K35" s="39" t="s">
        <v>90</v>
      </c>
      <c r="L35" s="289">
        <f>INDEX('3-Statement Model'!$BF$16:$BJ$113,MATCH('Key Assumptions + Summary'!$K35,'3-Statement Model'!$C$16:$C$113,0),MATCH('Key Assumptions + Summary'!L$7,'3-Statement Model'!$BF$11:$BJ$11,0))/1000</f>
        <v>-1203.0402889200034</v>
      </c>
      <c r="M35" s="289">
        <f>INDEX('3-Statement Model'!$BF$16:$BJ$113,MATCH('Key Assumptions + Summary'!$K35,'3-Statement Model'!$C$16:$C$113,0),MATCH('Key Assumptions + Summary'!M$7,'3-Statement Model'!$BF$11:$BJ$11,0))/1000</f>
        <v>-150.44008804036631</v>
      </c>
      <c r="N35" s="289">
        <f>INDEX('3-Statement Model'!$BF$16:$BJ$113,MATCH('Key Assumptions + Summary'!$K35,'3-Statement Model'!$C$16:$C$113,0),MATCH('Key Assumptions + Summary'!N$7,'3-Statement Model'!$BF$11:$BJ$11,0))/1000</f>
        <v>3918.2383090909088</v>
      </c>
      <c r="O35" s="289">
        <f>INDEX('3-Statement Model'!$BF$16:$BJ$113,MATCH('Key Assumptions + Summary'!$K35,'3-Statement Model'!$C$16:$C$113,0),MATCH('Key Assumptions + Summary'!O$7,'3-Statement Model'!$BF$11:$BJ$11,0))/1000</f>
        <v>10773.430242045459</v>
      </c>
      <c r="P35" s="289">
        <f>INDEX('3-Statement Model'!$BF$16:$BJ$113,MATCH('Key Assumptions + Summary'!$K35,'3-Statement Model'!$C$16:$C$113,0),MATCH('Key Assumptions + Summary'!P$7,'3-Statement Model'!$BF$11:$BJ$11,0))/1000</f>
        <v>23402.234541534097</v>
      </c>
      <c r="R35" s="327"/>
      <c r="S35" s="333">
        <f t="shared" si="2"/>
        <v>46022</v>
      </c>
      <c r="T35" s="328"/>
    </row>
    <row r="36" spans="3:20" x14ac:dyDescent="0.2">
      <c r="C36" s="64" t="s">
        <v>361</v>
      </c>
      <c r="D36" s="158"/>
      <c r="E36" s="159"/>
      <c r="F36" s="158"/>
      <c r="G36" s="158"/>
      <c r="H36" s="158"/>
      <c r="L36" s="287"/>
      <c r="M36" s="287"/>
      <c r="N36" s="287"/>
      <c r="O36" s="287"/>
      <c r="P36" s="287"/>
      <c r="R36" s="327"/>
      <c r="S36" s="333">
        <f t="shared" si="2"/>
        <v>46053</v>
      </c>
      <c r="T36" s="328"/>
    </row>
    <row r="37" spans="3:20" x14ac:dyDescent="0.2">
      <c r="K37" s="23" t="s">
        <v>208</v>
      </c>
      <c r="L37" s="288">
        <f>('3-Statement Model'!BF110-'3-Statement Model'!BF111)/1000</f>
        <v>-45.759937499999999</v>
      </c>
      <c r="M37" s="288">
        <f>('3-Statement Model'!BG110-'3-Statement Model'!BG111)/1000</f>
        <v>-234.94910292539163</v>
      </c>
      <c r="N37" s="288">
        <f>('3-Statement Model'!BH110-'3-Statement Model'!BH111)/1000</f>
        <v>313.34878671407211</v>
      </c>
      <c r="O37" s="288">
        <f>('3-Statement Model'!BI110-'3-Statement Model'!BI111)/1000</f>
        <v>1292.4887747204368</v>
      </c>
      <c r="P37" s="288">
        <f>('3-Statement Model'!BJ110-'3-Statement Model'!BJ111)/1000</f>
        <v>3261.8736441287929</v>
      </c>
      <c r="R37" s="327"/>
      <c r="S37" s="333">
        <v>46418</v>
      </c>
      <c r="T37" s="328"/>
    </row>
    <row r="38" spans="3:20" x14ac:dyDescent="0.2">
      <c r="C38" s="150" t="s">
        <v>362</v>
      </c>
      <c r="D38" s="7"/>
      <c r="E38" s="7"/>
      <c r="K38" s="43" t="s">
        <v>12</v>
      </c>
      <c r="L38" s="293">
        <f>INDEX('3-Statement Model'!$BF$16:$BJ$113,MATCH('Key Assumptions + Summary'!$K38,'3-Statement Model'!$C$16:$C$113,0),MATCH('Key Assumptions + Summary'!L$7,'3-Statement Model'!$BF$11:$BJ$11,0))/1000</f>
        <v>-1219.2591907091089</v>
      </c>
      <c r="M38" s="293">
        <f>INDEX('3-Statement Model'!$BF$16:$BJ$113,MATCH('Key Assumptions + Summary'!$K38,'3-Statement Model'!$C$16:$C$113,0),MATCH('Key Assumptions + Summary'!M$7,'3-Statement Model'!$BF$11:$BJ$11,0))/1000</f>
        <v>-424.03818837566979</v>
      </c>
      <c r="N38" s="293">
        <f>INDEX('3-Statement Model'!$BF$16:$BJ$113,MATCH('Key Assumptions + Summary'!$K38,'3-Statement Model'!$C$16:$C$113,0),MATCH('Key Assumptions + Summary'!N$7,'3-Statement Model'!$BF$11:$BJ$11,0))/1000</f>
        <v>3090.2372424775454</v>
      </c>
      <c r="O38" s="293">
        <f>INDEX('3-Statement Model'!$BF$16:$BJ$113,MATCH('Key Assumptions + Summary'!$K38,'3-Statement Model'!$C$16:$C$113,0),MATCH('Key Assumptions + Summary'!O$7,'3-Statement Model'!$BF$11:$BJ$11,0))/1000</f>
        <v>8312.2276371075477</v>
      </c>
      <c r="P38" s="293">
        <f>INDEX('3-Statement Model'!$BF$16:$BJ$113,MATCH('Key Assumptions + Summary'!$K38,'3-Statement Model'!$C$16:$C$113,0),MATCH('Key Assumptions + Summary'!P$7,'3-Statement Model'!$BF$11:$BJ$11,0))/1000</f>
        <v>17821.385678170303</v>
      </c>
      <c r="R38" s="327"/>
      <c r="S38" s="333">
        <v>46783</v>
      </c>
      <c r="T38" s="328"/>
    </row>
    <row r="39" spans="3:20" x14ac:dyDescent="0.2">
      <c r="C39" s="23" t="s">
        <v>363</v>
      </c>
      <c r="D39" s="268">
        <v>0.02</v>
      </c>
      <c r="E39" s="155" t="s">
        <v>366</v>
      </c>
      <c r="L39" s="266"/>
      <c r="M39" s="266"/>
      <c r="N39" s="266"/>
      <c r="O39" s="266"/>
      <c r="P39" s="266"/>
      <c r="R39" s="329"/>
      <c r="S39" s="330"/>
      <c r="T39" s="331"/>
    </row>
    <row r="40" spans="3:20" x14ac:dyDescent="0.2">
      <c r="C40" s="23" t="s">
        <v>364</v>
      </c>
      <c r="D40" s="269">
        <v>2885625</v>
      </c>
      <c r="E40" s="155" t="s">
        <v>366</v>
      </c>
    </row>
    <row r="41" spans="3:20" x14ac:dyDescent="0.2">
      <c r="D41" s="215"/>
      <c r="K41" s="64" t="s">
        <v>377</v>
      </c>
      <c r="L41" s="158"/>
      <c r="M41" s="159"/>
      <c r="N41" s="158"/>
      <c r="O41" s="158"/>
      <c r="P41" s="158"/>
    </row>
    <row r="42" spans="3:20" x14ac:dyDescent="0.2">
      <c r="C42" s="150" t="s">
        <v>365</v>
      </c>
      <c r="D42" s="113"/>
      <c r="K42" s="299" t="s">
        <v>378</v>
      </c>
      <c r="L42" s="300"/>
      <c r="M42" s="301">
        <f>M30/L30-1</f>
        <v>3.9760849776674752</v>
      </c>
      <c r="N42" s="301">
        <f t="shared" ref="N42:P42" si="3">N30/M30-1</f>
        <v>0.91490615759677651</v>
      </c>
      <c r="O42" s="301">
        <f t="shared" si="3"/>
        <v>1.0684440907282138</v>
      </c>
      <c r="P42" s="301">
        <f t="shared" si="3"/>
        <v>0.93978453251250471</v>
      </c>
    </row>
    <row r="43" spans="3:20" x14ac:dyDescent="0.2">
      <c r="C43" s="23" t="s">
        <v>363</v>
      </c>
      <c r="D43" s="268">
        <v>1.4999999999999999E-2</v>
      </c>
      <c r="E43" s="155" t="s">
        <v>366</v>
      </c>
      <c r="K43" s="299" t="s">
        <v>1</v>
      </c>
      <c r="L43" s="301">
        <f>L32/L30</f>
        <v>0.73783180432459072</v>
      </c>
      <c r="M43" s="301">
        <f>M32/M30</f>
        <v>0.73883018408306311</v>
      </c>
      <c r="N43" s="301">
        <f>N32/N30</f>
        <v>0.73831113362032574</v>
      </c>
      <c r="O43" s="301">
        <f>O32/O30</f>
        <v>0.73793355253185955</v>
      </c>
      <c r="P43" s="301">
        <f>P32/P30</f>
        <v>0.73725223192953038</v>
      </c>
    </row>
    <row r="44" spans="3:20" x14ac:dyDescent="0.2">
      <c r="C44" s="23" t="s">
        <v>364</v>
      </c>
      <c r="D44" s="269">
        <v>750000</v>
      </c>
      <c r="E44" s="155" t="s">
        <v>366</v>
      </c>
      <c r="K44" s="299" t="s">
        <v>123</v>
      </c>
      <c r="L44" s="301">
        <f>L35/L30</f>
        <v>-1.1263359446550676</v>
      </c>
      <c r="M44" s="301">
        <f>M35/M30</f>
        <v>-2.8305026301542951E-2</v>
      </c>
      <c r="N44" s="301">
        <f>N35/N30</f>
        <v>0.38498457984808959</v>
      </c>
      <c r="O44" s="301">
        <f>O35/O30</f>
        <v>0.5117557200084295</v>
      </c>
      <c r="P44" s="301">
        <f>P35/P30</f>
        <v>0.57307641737857495</v>
      </c>
    </row>
    <row r="45" spans="3:20" x14ac:dyDescent="0.2">
      <c r="K45" s="299" t="s">
        <v>238</v>
      </c>
      <c r="L45" s="301">
        <f>L38/L30</f>
        <v>-1.1415207495499224</v>
      </c>
      <c r="M45" s="301">
        <f>M38/M30</f>
        <v>-7.9782006453036999E-2</v>
      </c>
      <c r="N45" s="301">
        <f>N38/N30</f>
        <v>0.30362974188319952</v>
      </c>
      <c r="O45" s="301">
        <f>O38/O30</f>
        <v>0.39484453361015137</v>
      </c>
      <c r="P45" s="301">
        <f>P38/P30</f>
        <v>0.43641199471963688</v>
      </c>
    </row>
    <row r="46" spans="3:20" x14ac:dyDescent="0.2">
      <c r="C46" s="64" t="s">
        <v>460</v>
      </c>
      <c r="D46" s="158"/>
      <c r="E46" s="159"/>
      <c r="F46" s="158"/>
      <c r="G46" s="158"/>
      <c r="H46" s="158"/>
      <c r="K46" s="254"/>
      <c r="L46" s="168"/>
      <c r="M46" s="168"/>
      <c r="N46" s="168"/>
      <c r="O46" s="168"/>
      <c r="P46" s="168"/>
    </row>
    <row r="47" spans="3:20" x14ac:dyDescent="0.2">
      <c r="K47" s="64" t="s">
        <v>437</v>
      </c>
      <c r="L47" s="158"/>
      <c r="M47" s="159"/>
      <c r="N47" s="158"/>
      <c r="O47" s="158"/>
      <c r="P47" s="158"/>
    </row>
    <row r="48" spans="3:20" ht="15" x14ac:dyDescent="0.35">
      <c r="C48" s="46"/>
      <c r="D48" s="69" t="s">
        <v>480</v>
      </c>
      <c r="E48" s="69" t="s">
        <v>31</v>
      </c>
      <c r="F48" s="69" t="s">
        <v>481</v>
      </c>
      <c r="G48" s="69" t="s">
        <v>72</v>
      </c>
    </row>
    <row r="49" spans="3:16" ht="13.5" thickBot="1" x14ac:dyDescent="0.25">
      <c r="C49" s="78" t="s">
        <v>91</v>
      </c>
      <c r="D49" s="109">
        <v>320000</v>
      </c>
      <c r="E49" s="89" t="s">
        <v>23</v>
      </c>
      <c r="F49" s="334">
        <v>12</v>
      </c>
      <c r="G49" s="313" t="str">
        <f t="shared" ref="G49:G54" si="4">IF(E49="-","-",EOMONTH(E49,F49))</f>
        <v>-</v>
      </c>
      <c r="L49" s="17">
        <v>45657</v>
      </c>
      <c r="M49" s="17">
        <f>EOMONTH(L49,12)</f>
        <v>46022</v>
      </c>
      <c r="N49" s="17">
        <f>EOMONTH(M49,12)</f>
        <v>46387</v>
      </c>
      <c r="O49" s="17">
        <f>EOMONTH(N49,12)</f>
        <v>46752</v>
      </c>
      <c r="P49" s="17">
        <f>EOMONTH(O49,12)</f>
        <v>47118</v>
      </c>
    </row>
    <row r="50" spans="3:16" x14ac:dyDescent="0.2">
      <c r="C50" s="78" t="s">
        <v>96</v>
      </c>
      <c r="D50" s="109">
        <v>1500000</v>
      </c>
      <c r="E50" s="89">
        <v>45322</v>
      </c>
      <c r="F50" s="334">
        <v>12</v>
      </c>
      <c r="G50" s="313">
        <f t="shared" si="4"/>
        <v>45688</v>
      </c>
      <c r="L50" s="44">
        <v>1</v>
      </c>
      <c r="M50" s="44">
        <f t="shared" ref="M50" si="5">L50+1</f>
        <v>2</v>
      </c>
      <c r="N50" s="44">
        <f t="shared" ref="N50" si="6">M50+1</f>
        <v>3</v>
      </c>
      <c r="O50" s="44">
        <f t="shared" ref="O50" si="7">N50+1</f>
        <v>4</v>
      </c>
      <c r="P50" s="44">
        <f t="shared" ref="P50" si="8">O50+1</f>
        <v>5</v>
      </c>
    </row>
    <row r="51" spans="3:16" x14ac:dyDescent="0.2">
      <c r="C51" s="78" t="s">
        <v>92</v>
      </c>
      <c r="D51" s="109">
        <v>770000</v>
      </c>
      <c r="E51" s="89" t="s">
        <v>23</v>
      </c>
      <c r="F51" s="334">
        <v>12</v>
      </c>
      <c r="G51" s="313" t="str">
        <f t="shared" si="4"/>
        <v>-</v>
      </c>
      <c r="K51" s="165" t="s">
        <v>436</v>
      </c>
      <c r="L51" s="21">
        <f t="shared" ref="L51:P51" si="9">L49</f>
        <v>45657</v>
      </c>
      <c r="M51" s="21">
        <f t="shared" si="9"/>
        <v>46022</v>
      </c>
      <c r="N51" s="21">
        <f t="shared" si="9"/>
        <v>46387</v>
      </c>
      <c r="O51" s="21">
        <f t="shared" si="9"/>
        <v>46752</v>
      </c>
      <c r="P51" s="21">
        <f t="shared" si="9"/>
        <v>47118</v>
      </c>
    </row>
    <row r="52" spans="3:16" x14ac:dyDescent="0.2">
      <c r="C52" s="78" t="s">
        <v>93</v>
      </c>
      <c r="D52" s="109">
        <v>750000</v>
      </c>
      <c r="E52" s="89">
        <v>45596</v>
      </c>
      <c r="F52" s="334">
        <v>12</v>
      </c>
      <c r="G52" s="313">
        <f t="shared" si="4"/>
        <v>45961</v>
      </c>
      <c r="K52" s="68" t="s">
        <v>172</v>
      </c>
      <c r="L52" s="168"/>
      <c r="M52" s="168"/>
      <c r="N52" s="168"/>
      <c r="O52" s="168"/>
      <c r="P52" s="168"/>
    </row>
    <row r="53" spans="3:16" x14ac:dyDescent="0.2">
      <c r="C53" s="78" t="s">
        <v>94</v>
      </c>
      <c r="D53" s="109">
        <v>750000</v>
      </c>
      <c r="E53" s="89">
        <v>45596</v>
      </c>
      <c r="F53" s="334">
        <v>12</v>
      </c>
      <c r="G53" s="313">
        <f t="shared" si="4"/>
        <v>45961</v>
      </c>
      <c r="K53" s="63" t="s">
        <v>173</v>
      </c>
      <c r="L53" s="288">
        <f>INDEX('3-Statement Model'!$BF$129:$BJ$159,MATCH('Key Assumptions + Summary'!$K53,'3-Statement Model'!$C$129:$C$159,0),MATCH('Key Assumptions + Summary'!L$7,'3-Statement Model'!$BF$11:$BJ$11,0))/1000</f>
        <v>1235.7932339602116</v>
      </c>
      <c r="M53" s="288">
        <f>INDEX('3-Statement Model'!$BF$129:$BJ$159,MATCH('Key Assumptions + Summary'!$K53,'3-Statement Model'!$C$129:$C$159,0),MATCH('Key Assumptions + Summary'!M$7,'3-Statement Model'!$BF$11:$BJ$11,0))/1000</f>
        <v>163.02602859688736</v>
      </c>
      <c r="N53" s="288">
        <f>INDEX('3-Statement Model'!$BF$129:$BJ$159,MATCH('Key Assumptions + Summary'!$K53,'3-Statement Model'!$C$129:$C$159,0),MATCH('Key Assumptions + Summary'!N$7,'3-Statement Model'!$BF$11:$BJ$11,0))/1000</f>
        <v>2700.5004806779475</v>
      </c>
      <c r="O53" s="288">
        <f>INDEX('3-Statement Model'!$BF$129:$BJ$159,MATCH('Key Assumptions + Summary'!$K53,'3-Statement Model'!$C$129:$C$159,0),MATCH('Key Assumptions + Summary'!O$7,'3-Statement Model'!$BF$11:$BJ$11,0))/1000</f>
        <v>9463.9353975333161</v>
      </c>
      <c r="P53" s="288">
        <f>INDEX('3-Statement Model'!$BF$129:$BJ$159,MATCH('Key Assumptions + Summary'!$K53,'3-Statement Model'!$C$129:$C$159,0),MATCH('Key Assumptions + Summary'!P$7,'3-Statement Model'!$BF$11:$BJ$11,0))/1000</f>
        <v>24458.155602639974</v>
      </c>
    </row>
    <row r="54" spans="3:16" x14ac:dyDescent="0.2">
      <c r="C54" s="78" t="s">
        <v>479</v>
      </c>
      <c r="D54" s="109">
        <v>600000</v>
      </c>
      <c r="E54" s="313">
        <f>SUM(E49:E51)</f>
        <v>45322</v>
      </c>
      <c r="F54" s="334">
        <v>12</v>
      </c>
      <c r="G54" s="313">
        <f t="shared" si="4"/>
        <v>45688</v>
      </c>
      <c r="K54" s="63" t="s">
        <v>174</v>
      </c>
      <c r="L54" s="288">
        <f>INDEX('3-Statement Model'!$BF$129:$BJ$159,MATCH('Key Assumptions + Summary'!$K54,'3-Statement Model'!$C$129:$C$159,0),MATCH('Key Assumptions + Summary'!L$7,'3-Statement Model'!$BF$11:$BJ$11,0))/1000</f>
        <v>241.43172554347831</v>
      </c>
      <c r="M54" s="288">
        <f>INDEX('3-Statement Model'!$BF$129:$BJ$159,MATCH('Key Assumptions + Summary'!$K54,'3-Statement Model'!$C$129:$C$159,0),MATCH('Key Assumptions + Summary'!M$7,'3-Statement Model'!$BF$11:$BJ$11,0))/1000</f>
        <v>821.11548913043498</v>
      </c>
      <c r="N54" s="288">
        <f>INDEX('3-Statement Model'!$BF$129:$BJ$159,MATCH('Key Assumptions + Summary'!$K54,'3-Statement Model'!$C$129:$C$159,0),MATCH('Key Assumptions + Summary'!N$7,'3-Statement Model'!$BF$11:$BJ$11,0))/1000</f>
        <v>1254.7787671232875</v>
      </c>
      <c r="O54" s="288">
        <f>INDEX('3-Statement Model'!$BF$129:$BJ$159,MATCH('Key Assumptions + Summary'!$K54,'3-Statement Model'!$C$129:$C$159,0),MATCH('Key Assumptions + Summary'!O$7,'3-Statement Model'!$BF$11:$BJ$11,0))/1000</f>
        <v>2595.4397260273972</v>
      </c>
      <c r="P54" s="288">
        <f>INDEX('3-Statement Model'!$BF$129:$BJ$159,MATCH('Key Assumptions + Summary'!$K54,'3-Statement Model'!$C$129:$C$159,0),MATCH('Key Assumptions + Summary'!P$7,'3-Statement Model'!$BF$11:$BJ$11,0))/1000</f>
        <v>5020.8381147540995</v>
      </c>
    </row>
    <row r="55" spans="3:16" x14ac:dyDescent="0.2">
      <c r="C55" s="78"/>
      <c r="K55" s="63" t="s">
        <v>175</v>
      </c>
      <c r="L55" s="288">
        <f>INDEX('3-Statement Model'!$BF$129:$BJ$159,MATCH('Key Assumptions + Summary'!$K55,'3-Statement Model'!$C$129:$C$159,0),MATCH('Key Assumptions + Summary'!L$7,'3-Statement Model'!$BF$11:$BJ$11,0))/1000</f>
        <v>10.798999999999999</v>
      </c>
      <c r="M55" s="288">
        <f>INDEX('3-Statement Model'!$BF$129:$BJ$159,MATCH('Key Assumptions + Summary'!$K55,'3-Statement Model'!$C$129:$C$159,0),MATCH('Key Assumptions + Summary'!M$7,'3-Statement Model'!$BF$11:$BJ$11,0))/1000</f>
        <v>10.798999999999999</v>
      </c>
      <c r="N55" s="288">
        <f>INDEX('3-Statement Model'!$BF$129:$BJ$159,MATCH('Key Assumptions + Summary'!$K55,'3-Statement Model'!$C$129:$C$159,0),MATCH('Key Assumptions + Summary'!N$7,'3-Statement Model'!$BF$11:$BJ$11,0))/1000</f>
        <v>10.798999999999999</v>
      </c>
      <c r="O55" s="288">
        <f>INDEX('3-Statement Model'!$BF$129:$BJ$159,MATCH('Key Assumptions + Summary'!$K55,'3-Statement Model'!$C$129:$C$159,0),MATCH('Key Assumptions + Summary'!O$7,'3-Statement Model'!$BF$11:$BJ$11,0))/1000</f>
        <v>10.798999999999999</v>
      </c>
      <c r="P55" s="288">
        <f>INDEX('3-Statement Model'!$BF$129:$BJ$159,MATCH('Key Assumptions + Summary'!$K55,'3-Statement Model'!$C$129:$C$159,0),MATCH('Key Assumptions + Summary'!P$7,'3-Statement Model'!$BF$11:$BJ$11,0))/1000</f>
        <v>10.798999999999999</v>
      </c>
    </row>
    <row r="56" spans="3:16" x14ac:dyDescent="0.2">
      <c r="C56" s="64" t="s">
        <v>260</v>
      </c>
      <c r="D56" s="158"/>
      <c r="E56" s="159"/>
      <c r="F56" s="158"/>
      <c r="G56" s="158"/>
      <c r="H56" s="158"/>
      <c r="K56" s="63" t="s">
        <v>176</v>
      </c>
      <c r="L56" s="288">
        <f>INDEX('3-Statement Model'!$BF$129:$BJ$159,MATCH('Key Assumptions + Summary'!$K56,'3-Statement Model'!$C$129:$C$159,0),MATCH('Key Assumptions + Summary'!L$7,'3-Statement Model'!$BF$11:$BJ$11,0))/1000</f>
        <v>62.810634597332012</v>
      </c>
      <c r="M56" s="288">
        <f>INDEX('3-Statement Model'!$BF$129:$BJ$159,MATCH('Key Assumptions + Summary'!$K56,'3-Statement Model'!$C$129:$C$159,0),MATCH('Key Assumptions + Summary'!M$7,'3-Statement Model'!$BF$11:$BJ$11,0))/1000</f>
        <v>214.02142159090911</v>
      </c>
      <c r="N56" s="288">
        <f>INDEX('3-Statement Model'!$BF$129:$BJ$159,MATCH('Key Assumptions + Summary'!$K56,'3-Statement Model'!$C$129:$C$159,0),MATCH('Key Assumptions + Summary'!N$7,'3-Statement Model'!$BF$11:$BJ$11,0))/1000</f>
        <v>328.36163312577827</v>
      </c>
      <c r="O56" s="288">
        <f>INDEX('3-Statement Model'!$BF$129:$BJ$159,MATCH('Key Assumptions + Summary'!$K56,'3-Statement Model'!$C$129:$C$159,0),MATCH('Key Assumptions + Summary'!O$7,'3-Statement Model'!$BF$11:$BJ$11,0))/1000</f>
        <v>680.17766861768371</v>
      </c>
      <c r="P56" s="288">
        <f>INDEX('3-Statement Model'!$BF$129:$BJ$159,MATCH('Key Assumptions + Summary'!$K56,'3-Statement Model'!$C$129:$C$159,0),MATCH('Key Assumptions + Summary'!P$7,'3-Statement Model'!$BF$11:$BJ$11,0))/1000</f>
        <v>1319.2140084947839</v>
      </c>
    </row>
    <row r="57" spans="3:16" x14ac:dyDescent="0.2">
      <c r="D57" s="160">
        <v>1</v>
      </c>
      <c r="E57" s="160">
        <v>2</v>
      </c>
      <c r="F57" s="160">
        <v>3</v>
      </c>
      <c r="G57" s="160">
        <v>4</v>
      </c>
      <c r="H57" s="160">
        <v>5</v>
      </c>
      <c r="K57" s="282" t="s">
        <v>177</v>
      </c>
      <c r="L57" s="289">
        <f>INDEX('3-Statement Model'!$BF$129:$BJ$159,MATCH('Key Assumptions + Summary'!$K57,'3-Statement Model'!$C$129:$C$159,0),MATCH('Key Assumptions + Summary'!L$7,'3-Statement Model'!$BF$11:$BJ$11,0))/1000</f>
        <v>1550.834594101022</v>
      </c>
      <c r="M57" s="289">
        <f>INDEX('3-Statement Model'!$BF$129:$BJ$159,MATCH('Key Assumptions + Summary'!$K57,'3-Statement Model'!$C$129:$C$159,0),MATCH('Key Assumptions + Summary'!M$7,'3-Statement Model'!$BF$11:$BJ$11,0))/1000</f>
        <v>1208.9619393182313</v>
      </c>
      <c r="N57" s="289">
        <f>INDEX('3-Statement Model'!$BF$129:$BJ$159,MATCH('Key Assumptions + Summary'!$K57,'3-Statement Model'!$C$129:$C$159,0),MATCH('Key Assumptions + Summary'!N$7,'3-Statement Model'!$BF$11:$BJ$11,0))/1000</f>
        <v>4294.4398809270133</v>
      </c>
      <c r="O57" s="289">
        <f>INDEX('3-Statement Model'!$BF$129:$BJ$159,MATCH('Key Assumptions + Summary'!$K57,'3-Statement Model'!$C$129:$C$159,0),MATCH('Key Assumptions + Summary'!O$7,'3-Statement Model'!$BF$11:$BJ$11,0))/1000</f>
        <v>12750.351792178399</v>
      </c>
      <c r="P57" s="289">
        <f>INDEX('3-Statement Model'!$BF$129:$BJ$159,MATCH('Key Assumptions + Summary'!$K57,'3-Statement Model'!$C$129:$C$159,0),MATCH('Key Assumptions + Summary'!P$7,'3-Statement Model'!$BF$11:$BJ$11,0))/1000</f>
        <v>30809.006725888856</v>
      </c>
    </row>
    <row r="58" spans="3:16" x14ac:dyDescent="0.2">
      <c r="D58" s="267"/>
      <c r="E58" s="267"/>
      <c r="F58" s="267"/>
      <c r="G58" s="267"/>
      <c r="H58" s="267"/>
      <c r="K58" s="282" t="s">
        <v>182</v>
      </c>
      <c r="L58" s="293">
        <f>INDEX('3-Statement Model'!$BF$129:$BJ$159,MATCH('Key Assumptions + Summary'!$K58,'3-Statement Model'!$C$129:$C$159,0),MATCH('Key Assumptions + Summary'!L$7,'3-Statement Model'!$BF$11:$BJ$11,0))/1000</f>
        <v>124.55101000000001</v>
      </c>
      <c r="M58" s="293">
        <f>INDEX('3-Statement Model'!$BF$129:$BJ$159,MATCH('Key Assumptions + Summary'!$K58,'3-Statement Model'!$C$129:$C$159,0),MATCH('Key Assumptions + Summary'!M$7,'3-Statement Model'!$BF$11:$BJ$11,0))/1000</f>
        <v>124.55101000000001</v>
      </c>
      <c r="N58" s="293">
        <f>INDEX('3-Statement Model'!$BF$129:$BJ$159,MATCH('Key Assumptions + Summary'!$K58,'3-Statement Model'!$C$129:$C$159,0),MATCH('Key Assumptions + Summary'!N$7,'3-Statement Model'!$BF$11:$BJ$11,0))/1000</f>
        <v>124.55101000000001</v>
      </c>
      <c r="O58" s="293">
        <f>INDEX('3-Statement Model'!$BF$129:$BJ$159,MATCH('Key Assumptions + Summary'!$K58,'3-Statement Model'!$C$129:$C$159,0),MATCH('Key Assumptions + Summary'!O$7,'3-Statement Model'!$BF$11:$BJ$11,0))/1000</f>
        <v>124.55101000000001</v>
      </c>
      <c r="P58" s="293">
        <f>INDEX('3-Statement Model'!$BF$129:$BJ$159,MATCH('Key Assumptions + Summary'!$K58,'3-Statement Model'!$C$129:$C$159,0),MATCH('Key Assumptions + Summary'!P$7,'3-Statement Model'!$BF$11:$BJ$11,0))/1000</f>
        <v>124.55101000000001</v>
      </c>
    </row>
    <row r="59" spans="3:16" x14ac:dyDescent="0.2">
      <c r="C59" s="46" t="s">
        <v>413</v>
      </c>
      <c r="D59" s="267"/>
      <c r="E59" s="267"/>
      <c r="F59" s="267"/>
      <c r="G59" s="267"/>
      <c r="H59" s="267"/>
      <c r="K59" s="131" t="s">
        <v>183</v>
      </c>
      <c r="L59" s="293">
        <f>INDEX('3-Statement Model'!$BF$129:$BJ$159,MATCH('Key Assumptions + Summary'!$K59,'3-Statement Model'!$C$129:$C$159,0),MATCH('Key Assumptions + Summary'!L$7,'3-Statement Model'!$BF$11:$BJ$11,0))/1000</f>
        <v>1675.385604101022</v>
      </c>
      <c r="M59" s="293">
        <f>INDEX('3-Statement Model'!$BF$129:$BJ$159,MATCH('Key Assumptions + Summary'!$K59,'3-Statement Model'!$C$129:$C$159,0),MATCH('Key Assumptions + Summary'!M$7,'3-Statement Model'!$BF$11:$BJ$11,0))/1000</f>
        <v>1333.5129493182312</v>
      </c>
      <c r="N59" s="293">
        <f>INDEX('3-Statement Model'!$BF$129:$BJ$159,MATCH('Key Assumptions + Summary'!$K59,'3-Statement Model'!$C$129:$C$159,0),MATCH('Key Assumptions + Summary'!N$7,'3-Statement Model'!$BF$11:$BJ$11,0))/1000</f>
        <v>4418.9908909270134</v>
      </c>
      <c r="O59" s="293">
        <f>INDEX('3-Statement Model'!$BF$129:$BJ$159,MATCH('Key Assumptions + Summary'!$K59,'3-Statement Model'!$C$129:$C$159,0),MATCH('Key Assumptions + Summary'!O$7,'3-Statement Model'!$BF$11:$BJ$11,0))/1000</f>
        <v>12874.902802178398</v>
      </c>
      <c r="P59" s="293">
        <f>INDEX('3-Statement Model'!$BF$129:$BJ$159,MATCH('Key Assumptions + Summary'!$K59,'3-Statement Model'!$C$129:$C$159,0),MATCH('Key Assumptions + Summary'!P$7,'3-Statement Model'!$BF$11:$BJ$11,0))/1000</f>
        <v>30933.557735888859</v>
      </c>
    </row>
    <row r="60" spans="3:16" x14ac:dyDescent="0.2">
      <c r="C60" s="78" t="s">
        <v>414</v>
      </c>
      <c r="D60" s="88">
        <v>140000</v>
      </c>
      <c r="F60" s="267"/>
      <c r="G60" s="267"/>
      <c r="H60" s="267"/>
    </row>
    <row r="61" spans="3:16" x14ac:dyDescent="0.2">
      <c r="C61" s="78" t="s">
        <v>415</v>
      </c>
      <c r="D61" s="34">
        <v>45292</v>
      </c>
      <c r="F61" s="267"/>
      <c r="G61" s="267"/>
      <c r="H61" s="267"/>
      <c r="K61" s="130" t="s">
        <v>184</v>
      </c>
    </row>
    <row r="62" spans="3:16" x14ac:dyDescent="0.2">
      <c r="C62" s="311" t="s">
        <v>459</v>
      </c>
      <c r="D62" s="93">
        <v>0.75</v>
      </c>
      <c r="F62" s="267"/>
      <c r="G62" s="267"/>
      <c r="H62" s="267"/>
      <c r="K62" s="63" t="s">
        <v>185</v>
      </c>
      <c r="L62" s="288">
        <f>INDEX('3-Statement Model'!$BF$129:$BJ$159,MATCH('Key Assumptions + Summary'!$K62,'3-Statement Model'!$C$129:$C$159,0),MATCH('Key Assumptions + Summary'!L$7,'3-Statement Model'!$BF$11:$BJ$11,0))/1000</f>
        <v>365.94042481013105</v>
      </c>
      <c r="M62" s="288">
        <f>INDEX('3-Statement Model'!$BF$129:$BJ$159,MATCH('Key Assumptions + Summary'!$K62,'3-Statement Model'!$C$129:$C$159,0),MATCH('Key Assumptions + Summary'!M$7,'3-Statement Model'!$BF$11:$BJ$11,0))/1000</f>
        <v>448.10595840301011</v>
      </c>
      <c r="N62" s="288">
        <f>INDEX('3-Statement Model'!$BF$129:$BJ$159,MATCH('Key Assumptions + Summary'!$K62,'3-Statement Model'!$C$129:$C$159,0),MATCH('Key Assumptions + Summary'!N$7,'3-Statement Model'!$BF$11:$BJ$11,0))/1000</f>
        <v>443.34665753424656</v>
      </c>
      <c r="O62" s="288">
        <f>INDEX('3-Statement Model'!$BF$129:$BJ$159,MATCH('Key Assumptions + Summary'!$K62,'3-Statement Model'!$C$129:$C$159,0),MATCH('Key Assumptions + Summary'!O$7,'3-Statement Model'!$BF$11:$BJ$11,0))/1000</f>
        <v>587.03093167808208</v>
      </c>
      <c r="P62" s="288">
        <f>INDEX('3-Statement Model'!$BF$129:$BJ$159,MATCH('Key Assumptions + Summary'!$K62,'3-Statement Model'!$C$129:$C$159,0),MATCH('Key Assumptions + Summary'!P$7,'3-Statement Model'!$BF$11:$BJ$11,0))/1000</f>
        <v>824.30018721823774</v>
      </c>
    </row>
    <row r="63" spans="3:16" x14ac:dyDescent="0.2">
      <c r="K63" s="63" t="s">
        <v>368</v>
      </c>
      <c r="L63" s="288">
        <f>INDEX('3-Statement Model'!$BF$129:$BJ$159,MATCH('Key Assumptions + Summary'!$K63,'3-Statement Model'!$C$129:$C$159,0),MATCH('Key Assumptions + Summary'!L$7,'3-Statement Model'!$BF$11:$BJ$11,0))/1000</f>
        <v>-20</v>
      </c>
      <c r="M63" s="288">
        <f>INDEX('3-Statement Model'!$BF$129:$BJ$159,MATCH('Key Assumptions + Summary'!$K63,'3-Statement Model'!$C$129:$C$159,0),MATCH('Key Assumptions + Summary'!M$7,'3-Statement Model'!$BF$11:$BJ$11,0))/1000</f>
        <v>-20</v>
      </c>
      <c r="N63" s="288">
        <f>INDEX('3-Statement Model'!$BF$129:$BJ$159,MATCH('Key Assumptions + Summary'!$K63,'3-Statement Model'!$C$129:$C$159,0),MATCH('Key Assumptions + Summary'!N$7,'3-Statement Model'!$BF$11:$BJ$11,0))/1000</f>
        <v>-20</v>
      </c>
      <c r="O63" s="288">
        <f>INDEX('3-Statement Model'!$BF$129:$BJ$159,MATCH('Key Assumptions + Summary'!$K63,'3-Statement Model'!$C$129:$C$159,0),MATCH('Key Assumptions + Summary'!O$7,'3-Statement Model'!$BF$11:$BJ$11,0))/1000</f>
        <v>-20</v>
      </c>
      <c r="P63" s="288">
        <f>INDEX('3-Statement Model'!$BF$129:$BJ$159,MATCH('Key Assumptions + Summary'!$K63,'3-Statement Model'!$C$129:$C$159,0),MATCH('Key Assumptions + Summary'!P$7,'3-Statement Model'!$BF$11:$BJ$11,0))/1000</f>
        <v>-20</v>
      </c>
    </row>
    <row r="64" spans="3:16" x14ac:dyDescent="0.2">
      <c r="C64" s="46" t="s">
        <v>457</v>
      </c>
      <c r="D64" s="267"/>
      <c r="K64" s="63" t="s">
        <v>63</v>
      </c>
      <c r="L64" s="288">
        <f>INDEX('3-Statement Model'!$BF$129:$BJ$159,MATCH('Key Assumptions + Summary'!$K64,'3-Statement Model'!$C$129:$C$159,0),MATCH('Key Assumptions + Summary'!L$7,'3-Statement Model'!$BF$11:$BJ$11,0))/1000</f>
        <v>5.8365900000000002</v>
      </c>
      <c r="M64" s="288">
        <f>INDEX('3-Statement Model'!$BF$129:$BJ$159,MATCH('Key Assumptions + Summary'!$K64,'3-Statement Model'!$C$129:$C$159,0),MATCH('Key Assumptions + Summary'!M$7,'3-Statement Model'!$BF$11:$BJ$11,0))/1000</f>
        <v>5.8365900000000002</v>
      </c>
      <c r="N64" s="288">
        <f>INDEX('3-Statement Model'!$BF$129:$BJ$159,MATCH('Key Assumptions + Summary'!$K64,'3-Statement Model'!$C$129:$C$159,0),MATCH('Key Assumptions + Summary'!N$7,'3-Statement Model'!$BF$11:$BJ$11,0))/1000</f>
        <v>5.8365900000000002</v>
      </c>
      <c r="O64" s="288">
        <f>INDEX('3-Statement Model'!$BF$129:$BJ$159,MATCH('Key Assumptions + Summary'!$K64,'3-Statement Model'!$C$129:$C$159,0),MATCH('Key Assumptions + Summary'!O$7,'3-Statement Model'!$BF$11:$BJ$11,0))/1000</f>
        <v>5.8365900000000002</v>
      </c>
      <c r="P64" s="288">
        <f>INDEX('3-Statement Model'!$BF$129:$BJ$159,MATCH('Key Assumptions + Summary'!$K64,'3-Statement Model'!$C$129:$C$159,0),MATCH('Key Assumptions + Summary'!P$7,'3-Statement Model'!$BF$11:$BJ$11,0))/1000</f>
        <v>5.8365900000000002</v>
      </c>
    </row>
    <row r="65" spans="3:16" x14ac:dyDescent="0.2">
      <c r="C65" s="78" t="s">
        <v>414</v>
      </c>
      <c r="D65" s="88">
        <v>75000</v>
      </c>
      <c r="K65" s="63" t="s">
        <v>186</v>
      </c>
      <c r="L65" s="288">
        <f>INDEX('3-Statement Model'!$BF$129:$BJ$159,MATCH('Key Assumptions + Summary'!$K65,'3-Statement Model'!$C$129:$C$159,0),MATCH('Key Assumptions + Summary'!L$7,'3-Statement Model'!$BF$11:$BJ$11,0))/1000</f>
        <v>2.9319600000000001</v>
      </c>
      <c r="M65" s="288">
        <f>INDEX('3-Statement Model'!$BF$129:$BJ$159,MATCH('Key Assumptions + Summary'!$K65,'3-Statement Model'!$C$129:$C$159,0),MATCH('Key Assumptions + Summary'!M$7,'3-Statement Model'!$BF$11:$BJ$11,0))/1000</f>
        <v>2.9319600000000001</v>
      </c>
      <c r="N65" s="288">
        <f>INDEX('3-Statement Model'!$BF$129:$BJ$159,MATCH('Key Assumptions + Summary'!$K65,'3-Statement Model'!$C$129:$C$159,0),MATCH('Key Assumptions + Summary'!N$7,'3-Statement Model'!$BF$11:$BJ$11,0))/1000</f>
        <v>2.9319600000000001</v>
      </c>
      <c r="O65" s="288">
        <f>INDEX('3-Statement Model'!$BF$129:$BJ$159,MATCH('Key Assumptions + Summary'!$K65,'3-Statement Model'!$C$129:$C$159,0),MATCH('Key Assumptions + Summary'!O$7,'3-Statement Model'!$BF$11:$BJ$11,0))/1000</f>
        <v>2.9319600000000001</v>
      </c>
      <c r="P65" s="288">
        <f>INDEX('3-Statement Model'!$BF$129:$BJ$159,MATCH('Key Assumptions + Summary'!$K65,'3-Statement Model'!$C$129:$C$159,0),MATCH('Key Assumptions + Summary'!P$7,'3-Statement Model'!$BF$11:$BJ$11,0))/1000</f>
        <v>2.9319600000000001</v>
      </c>
    </row>
    <row r="66" spans="3:16" x14ac:dyDescent="0.2">
      <c r="C66" s="78" t="s">
        <v>415</v>
      </c>
      <c r="D66" s="34">
        <v>45383</v>
      </c>
      <c r="K66" s="282" t="s">
        <v>187</v>
      </c>
      <c r="L66" s="289">
        <f>INDEX('3-Statement Model'!$BF$129:$BJ$159,MATCH('Key Assumptions + Summary'!$K66,'3-Statement Model'!$C$129:$C$159,0),MATCH('Key Assumptions + Summary'!L$7,'3-Statement Model'!$BF$11:$BJ$11,0))/1000</f>
        <v>354.70897481013105</v>
      </c>
      <c r="M66" s="289">
        <f>INDEX('3-Statement Model'!$BF$129:$BJ$159,MATCH('Key Assumptions + Summary'!$K66,'3-Statement Model'!$C$129:$C$159,0),MATCH('Key Assumptions + Summary'!M$7,'3-Statement Model'!$BF$11:$BJ$11,0))/1000</f>
        <v>436.87450840301017</v>
      </c>
      <c r="N66" s="289">
        <f>INDEX('3-Statement Model'!$BF$129:$BJ$159,MATCH('Key Assumptions + Summary'!$K66,'3-Statement Model'!$C$129:$C$159,0),MATCH('Key Assumptions + Summary'!N$7,'3-Statement Model'!$BF$11:$BJ$11,0))/1000</f>
        <v>432.11520753424662</v>
      </c>
      <c r="O66" s="289">
        <f>INDEX('3-Statement Model'!$BF$129:$BJ$159,MATCH('Key Assumptions + Summary'!$K66,'3-Statement Model'!$C$129:$C$159,0),MATCH('Key Assumptions + Summary'!O$7,'3-Statement Model'!$BF$11:$BJ$11,0))/1000</f>
        <v>575.79948167808197</v>
      </c>
      <c r="P66" s="289">
        <f>INDEX('3-Statement Model'!$BF$129:$BJ$159,MATCH('Key Assumptions + Summary'!$K66,'3-Statement Model'!$C$129:$C$159,0),MATCH('Key Assumptions + Summary'!P$7,'3-Statement Model'!$BF$11:$BJ$11,0))/1000</f>
        <v>813.06873721823774</v>
      </c>
    </row>
    <row r="67" spans="3:16" x14ac:dyDescent="0.2">
      <c r="C67" s="63" t="s">
        <v>458</v>
      </c>
      <c r="D67" s="93">
        <v>0</v>
      </c>
      <c r="K67" s="282" t="s">
        <v>192</v>
      </c>
      <c r="L67" s="293">
        <f>INDEX('3-Statement Model'!$BF$129:$BJ$159,MATCH('Key Assumptions + Summary'!$K67,'3-Statement Model'!$C$129:$C$159,0),MATCH('Key Assumptions + Summary'!L$7,'3-Statement Model'!$BF$11:$BJ$11,0))/1000</f>
        <v>1320.6767892908863</v>
      </c>
      <c r="M67" s="293">
        <f>INDEX('3-Statement Model'!$BF$129:$BJ$159,MATCH('Key Assumptions + Summary'!$K67,'3-Statement Model'!$C$129:$C$159,0),MATCH('Key Assumptions + Summary'!M$7,'3-Statement Model'!$BF$11:$BJ$11,0))/1000</f>
        <v>896.63860091521587</v>
      </c>
      <c r="N67" s="293">
        <f>INDEX('3-Statement Model'!$BF$129:$BJ$159,MATCH('Key Assumptions + Summary'!$K67,'3-Statement Model'!$C$129:$C$159,0),MATCH('Key Assumptions + Summary'!N$7,'3-Statement Model'!$BF$11:$BJ$11,0))/1000</f>
        <v>3986.8758433927596</v>
      </c>
      <c r="O67" s="293">
        <f>INDEX('3-Statement Model'!$BF$129:$BJ$159,MATCH('Key Assumptions + Summary'!$K67,'3-Statement Model'!$C$129:$C$159,0),MATCH('Key Assumptions + Summary'!O$7,'3-Statement Model'!$BF$11:$BJ$11,0))/1000</f>
        <v>12299.103480500307</v>
      </c>
      <c r="P67" s="293">
        <f>INDEX('3-Statement Model'!$BF$129:$BJ$159,MATCH('Key Assumptions + Summary'!$K67,'3-Statement Model'!$C$129:$C$159,0),MATCH('Key Assumptions + Summary'!P$7,'3-Statement Model'!$BF$11:$BJ$11,0))/1000</f>
        <v>30120.489158670611</v>
      </c>
    </row>
    <row r="68" spans="3:16" x14ac:dyDescent="0.2">
      <c r="C68" s="68"/>
      <c r="K68" s="131" t="s">
        <v>193</v>
      </c>
      <c r="L68" s="293">
        <f>INDEX('3-Statement Model'!$BF$129:$BJ$159,MATCH('Key Assumptions + Summary'!$K68,'3-Statement Model'!$C$129:$C$159,0),MATCH('Key Assumptions + Summary'!L$7,'3-Statement Model'!$BF$11:$BJ$11,0))/1000</f>
        <v>1675.3857641010175</v>
      </c>
      <c r="M68" s="293">
        <f>INDEX('3-Statement Model'!$BF$129:$BJ$159,MATCH('Key Assumptions + Summary'!$K68,'3-Statement Model'!$C$129:$C$159,0),MATCH('Key Assumptions + Summary'!M$7,'3-Statement Model'!$BF$11:$BJ$11,0))/1000</f>
        <v>1333.513109318226</v>
      </c>
      <c r="N68" s="293">
        <f>INDEX('3-Statement Model'!$BF$129:$BJ$159,MATCH('Key Assumptions + Summary'!$K68,'3-Statement Model'!$C$129:$C$159,0),MATCH('Key Assumptions + Summary'!N$7,'3-Statement Model'!$BF$11:$BJ$11,0))/1000</f>
        <v>4418.9910509270057</v>
      </c>
      <c r="O68" s="293">
        <f>INDEX('3-Statement Model'!$BF$129:$BJ$159,MATCH('Key Assumptions + Summary'!$K68,'3-Statement Model'!$C$129:$C$159,0),MATCH('Key Assumptions + Summary'!O$7,'3-Statement Model'!$BF$11:$BJ$11,0))/1000</f>
        <v>12874.902962178388</v>
      </c>
      <c r="P68" s="293">
        <f>INDEX('3-Statement Model'!$BF$129:$BJ$159,MATCH('Key Assumptions + Summary'!$K68,'3-Statement Model'!$C$129:$C$159,0),MATCH('Key Assumptions + Summary'!P$7,'3-Statement Model'!$BF$11:$BJ$11,0))/1000</f>
        <v>30933.557895888851</v>
      </c>
    </row>
    <row r="69" spans="3:16" x14ac:dyDescent="0.2">
      <c r="C69" s="46" t="s">
        <v>412</v>
      </c>
      <c r="F69" s="267"/>
      <c r="G69" s="267"/>
      <c r="H69" s="267"/>
    </row>
    <row r="70" spans="3:16" x14ac:dyDescent="0.2">
      <c r="C70" s="78" t="s">
        <v>399</v>
      </c>
      <c r="D70" s="112">
        <v>25</v>
      </c>
      <c r="E70" s="267"/>
      <c r="F70" s="267"/>
      <c r="G70" s="267"/>
      <c r="H70" s="267"/>
      <c r="K70" s="64" t="s">
        <v>438</v>
      </c>
      <c r="L70" s="158"/>
      <c r="M70" s="159"/>
      <c r="N70" s="158"/>
      <c r="O70" s="158"/>
      <c r="P70" s="158"/>
    </row>
    <row r="71" spans="3:16" x14ac:dyDescent="0.2">
      <c r="C71" s="78" t="s">
        <v>400</v>
      </c>
      <c r="D71" s="269">
        <v>75000</v>
      </c>
      <c r="E71" s="267"/>
      <c r="F71" s="267"/>
      <c r="G71" s="267"/>
      <c r="H71" s="267"/>
    </row>
    <row r="72" spans="3:16" ht="13.5" thickBot="1" x14ac:dyDescent="0.25">
      <c r="C72" s="78" t="s">
        <v>401</v>
      </c>
      <c r="D72" s="268">
        <v>0.05</v>
      </c>
      <c r="E72" s="155" t="s">
        <v>402</v>
      </c>
      <c r="F72" s="267"/>
      <c r="G72" s="267"/>
      <c r="H72" s="267"/>
      <c r="L72" s="17">
        <v>45657</v>
      </c>
      <c r="M72" s="17">
        <f>EOMONTH(L72,12)</f>
        <v>46022</v>
      </c>
      <c r="N72" s="17">
        <f>EOMONTH(M72,12)</f>
        <v>46387</v>
      </c>
      <c r="O72" s="17">
        <f>EOMONTH(N72,12)</f>
        <v>46752</v>
      </c>
      <c r="P72" s="17">
        <f>EOMONTH(O72,12)</f>
        <v>47118</v>
      </c>
    </row>
    <row r="73" spans="3:16" x14ac:dyDescent="0.2">
      <c r="D73" s="267"/>
      <c r="E73" s="267"/>
      <c r="F73" s="267"/>
      <c r="G73" s="267"/>
      <c r="H73" s="267"/>
      <c r="L73" s="44">
        <v>1</v>
      </c>
      <c r="M73" s="44">
        <f t="shared" ref="M73" si="10">L73+1</f>
        <v>2</v>
      </c>
      <c r="N73" s="44">
        <f t="shared" ref="N73" si="11">M73+1</f>
        <v>3</v>
      </c>
      <c r="O73" s="44">
        <f t="shared" ref="O73" si="12">N73+1</f>
        <v>4</v>
      </c>
      <c r="P73" s="44">
        <f t="shared" ref="P73" si="13">O73+1</f>
        <v>5</v>
      </c>
    </row>
    <row r="74" spans="3:16" x14ac:dyDescent="0.2">
      <c r="C74" s="46" t="s">
        <v>261</v>
      </c>
      <c r="K74" s="165" t="s">
        <v>436</v>
      </c>
      <c r="L74" s="21">
        <f t="shared" ref="L74:P74" si="14">L72</f>
        <v>45657</v>
      </c>
      <c r="M74" s="21">
        <f t="shared" si="14"/>
        <v>46022</v>
      </c>
      <c r="N74" s="21">
        <f t="shared" si="14"/>
        <v>46387</v>
      </c>
      <c r="O74" s="21">
        <f t="shared" si="14"/>
        <v>46752</v>
      </c>
      <c r="P74" s="21">
        <f t="shared" si="14"/>
        <v>47118</v>
      </c>
    </row>
    <row r="75" spans="3:16" x14ac:dyDescent="0.2">
      <c r="C75" s="78" t="s">
        <v>454</v>
      </c>
      <c r="D75" s="92" t="s">
        <v>448</v>
      </c>
      <c r="E75" s="92" t="s">
        <v>448</v>
      </c>
      <c r="F75" s="93">
        <v>0.5</v>
      </c>
      <c r="G75" s="93">
        <v>0.5</v>
      </c>
      <c r="H75" s="93">
        <v>0.5</v>
      </c>
      <c r="K75" s="68" t="s">
        <v>444</v>
      </c>
    </row>
    <row r="76" spans="3:16" x14ac:dyDescent="0.2">
      <c r="C76" s="78" t="s">
        <v>40</v>
      </c>
      <c r="D76" s="92" t="s">
        <v>448</v>
      </c>
      <c r="E76" s="93">
        <v>0.15</v>
      </c>
      <c r="F76" s="93">
        <v>0.1</v>
      </c>
      <c r="G76" s="93">
        <v>0.1</v>
      </c>
      <c r="H76" s="93">
        <v>0.1</v>
      </c>
      <c r="K76" s="63" t="s">
        <v>197</v>
      </c>
      <c r="L76" s="288">
        <f>INDEX('3-Statement Model'!$BF$167:$BJ$191,MATCH('Key Assumptions + Summary'!$K76,'3-Statement Model'!$C$167:$C$191,0),MATCH('Key Assumptions + Summary'!L$7,'3-Statement Model'!$BF$11:$BJ$11,0))/1000</f>
        <v>-1219.2591907091089</v>
      </c>
      <c r="M76" s="288">
        <f>INDEX('3-Statement Model'!$BF$167:$BJ$191,MATCH('Key Assumptions + Summary'!$K76,'3-Statement Model'!$C$167:$C$191,0),MATCH('Key Assumptions + Summary'!M$7,'3-Statement Model'!$BF$11:$BJ$11,0))/1000</f>
        <v>-424.03818837566979</v>
      </c>
      <c r="N76" s="288">
        <f>INDEX('3-Statement Model'!$BF$167:$BJ$191,MATCH('Key Assumptions + Summary'!$K76,'3-Statement Model'!$C$167:$C$191,0),MATCH('Key Assumptions + Summary'!N$7,'3-Statement Model'!$BF$11:$BJ$11,0))/1000</f>
        <v>3090.2372424775454</v>
      </c>
      <c r="O76" s="288">
        <f>INDEX('3-Statement Model'!$BF$167:$BJ$191,MATCH('Key Assumptions + Summary'!$K76,'3-Statement Model'!$C$167:$C$191,0),MATCH('Key Assumptions + Summary'!O$7,'3-Statement Model'!$BF$11:$BJ$11,0))/1000</f>
        <v>8312.2276371075477</v>
      </c>
      <c r="P76" s="288">
        <f>INDEX('3-Statement Model'!$BF$167:$BJ$191,MATCH('Key Assumptions + Summary'!$K76,'3-Statement Model'!$C$167:$C$191,0),MATCH('Key Assumptions + Summary'!P$7,'3-Statement Model'!$BF$11:$BJ$11,0))/1000</f>
        <v>17821.385678170303</v>
      </c>
    </row>
    <row r="77" spans="3:16" x14ac:dyDescent="0.2">
      <c r="C77" s="78" t="s">
        <v>43</v>
      </c>
      <c r="D77" s="92" t="s">
        <v>448</v>
      </c>
      <c r="E77" s="93">
        <v>0.15</v>
      </c>
      <c r="F77" s="93">
        <v>0.1</v>
      </c>
      <c r="G77" s="93">
        <v>0.1</v>
      </c>
      <c r="H77" s="93">
        <v>0.1</v>
      </c>
      <c r="K77" s="63" t="s">
        <v>439</v>
      </c>
      <c r="L77" s="288">
        <f>INDEX('3-Statement Model'!$BF$167:$BJ$191,MATCH('Key Assumptions + Summary'!$K77,'3-Statement Model'!$C$167:$C$191,0),MATCH('Key Assumptions + Summary'!L$7,'3-Statement Model'!$BF$11:$BJ$11,0))/1000</f>
        <v>141.50961466932074</v>
      </c>
      <c r="M77" s="288">
        <f>INDEX('3-Statement Model'!$BF$167:$BJ$191,MATCH('Key Assumptions + Summary'!$K77,'3-Statement Model'!$C$167:$C$191,0),MATCH('Key Assumptions + Summary'!M$7,'3-Statement Model'!$BF$11:$BJ$11,0))/1000</f>
        <v>-648.72901698765463</v>
      </c>
      <c r="N77" s="288">
        <f>INDEX('3-Statement Model'!$BF$167:$BJ$191,MATCH('Key Assumptions + Summary'!$K77,'3-Statement Model'!$C$167:$C$191,0),MATCH('Key Assumptions + Summary'!N$7,'3-Statement Model'!$BF$11:$BJ$11,0))/1000</f>
        <v>-552.76279039648523</v>
      </c>
      <c r="O77" s="288">
        <f>INDEX('3-Statement Model'!$BF$167:$BJ$191,MATCH('Key Assumptions + Summary'!$K77,'3-Statement Model'!$C$167:$C$191,0),MATCH('Key Assumptions + Summary'!O$7,'3-Statement Model'!$BF$11:$BJ$11,0))/1000</f>
        <v>-1548.7927202521798</v>
      </c>
      <c r="P77" s="288">
        <f>INDEX('3-Statement Model'!$BF$167:$BJ$191,MATCH('Key Assumptions + Summary'!$K77,'3-Statement Model'!$C$167:$C$191,0),MATCH('Key Assumptions + Summary'!P$7,'3-Statement Model'!$BF$11:$BJ$11,0))/1000</f>
        <v>-2827.1654730636465</v>
      </c>
    </row>
    <row r="78" spans="3:16" x14ac:dyDescent="0.2">
      <c r="C78" s="78" t="s">
        <v>120</v>
      </c>
      <c r="D78" s="92" t="s">
        <v>448</v>
      </c>
      <c r="E78" s="93">
        <v>0.03</v>
      </c>
      <c r="F78" s="93">
        <v>0.03</v>
      </c>
      <c r="G78" s="93">
        <v>0.03</v>
      </c>
      <c r="H78" s="93">
        <v>0.03</v>
      </c>
      <c r="K78" s="132" t="s">
        <v>200</v>
      </c>
      <c r="L78" s="289">
        <f>INDEX('3-Statement Model'!$BF$167:$BJ$191,MATCH('Key Assumptions + Summary'!$K78,'3-Statement Model'!$C$167:$C$191,0),MATCH('Key Assumptions + Summary'!L$7,'3-Statement Model'!$BF$11:$BJ$11,0))/1000</f>
        <v>-1077.7495760397883</v>
      </c>
      <c r="M78" s="289">
        <f>INDEX('3-Statement Model'!$BF$167:$BJ$191,MATCH('Key Assumptions + Summary'!$K78,'3-Statement Model'!$C$167:$C$191,0),MATCH('Key Assumptions + Summary'!M$7,'3-Statement Model'!$BF$11:$BJ$11,0))/1000</f>
        <v>-1072.7672053633244</v>
      </c>
      <c r="N78" s="289">
        <f>INDEX('3-Statement Model'!$BF$167:$BJ$191,MATCH('Key Assumptions + Summary'!$K78,'3-Statement Model'!$C$167:$C$191,0),MATCH('Key Assumptions + Summary'!N$7,'3-Statement Model'!$BF$11:$BJ$11,0))/1000</f>
        <v>2537.47445208106</v>
      </c>
      <c r="O78" s="289">
        <f>INDEX('3-Statement Model'!$BF$167:$BJ$191,MATCH('Key Assumptions + Summary'!$K78,'3-Statement Model'!$C$167:$C$191,0),MATCH('Key Assumptions + Summary'!O$7,'3-Statement Model'!$BF$11:$BJ$11,0))/1000</f>
        <v>6763.434916855369</v>
      </c>
      <c r="P78" s="289">
        <f>INDEX('3-Statement Model'!$BF$167:$BJ$191,MATCH('Key Assumptions + Summary'!$K78,'3-Statement Model'!$C$167:$C$191,0),MATCH('Key Assumptions + Summary'!P$7,'3-Statement Model'!$BF$11:$BJ$11,0))/1000</f>
        <v>14994.22020510666</v>
      </c>
    </row>
    <row r="79" spans="3:16" x14ac:dyDescent="0.2">
      <c r="C79" s="78" t="s">
        <v>95</v>
      </c>
      <c r="D79" s="92" t="s">
        <v>448</v>
      </c>
      <c r="E79" s="92" t="s">
        <v>448</v>
      </c>
      <c r="F79" s="92" t="s">
        <v>448</v>
      </c>
      <c r="G79" s="92" t="s">
        <v>448</v>
      </c>
      <c r="H79" s="92" t="s">
        <v>448</v>
      </c>
    </row>
    <row r="80" spans="3:16" x14ac:dyDescent="0.2">
      <c r="C80" s="78" t="s">
        <v>89</v>
      </c>
      <c r="D80" s="92" t="s">
        <v>448</v>
      </c>
      <c r="E80" s="93">
        <v>1.25</v>
      </c>
      <c r="F80" s="93">
        <v>0.5</v>
      </c>
      <c r="G80" s="93">
        <v>0.25</v>
      </c>
      <c r="H80" s="93">
        <v>0.15</v>
      </c>
      <c r="K80" s="68" t="s">
        <v>445</v>
      </c>
      <c r="L80" s="288">
        <f>INDEX('3-Statement Model'!$BF$167:$BJ$191,MATCH('Key Assumptions + Summary'!$K80,'3-Statement Model'!$C$167:$C$191,0),MATCH('Key Assumptions + Summary'!L$7,'3-Statement Model'!$BF$11:$BJ$11,0))/1000</f>
        <v>0</v>
      </c>
      <c r="M80" s="288">
        <f>INDEX('3-Statement Model'!$BF$167:$BJ$191,MATCH('Key Assumptions + Summary'!$K80,'3-Statement Model'!$C$167:$C$191,0),MATCH('Key Assumptions + Summary'!M$7,'3-Statement Model'!$BF$11:$BJ$11,0))/1000</f>
        <v>0</v>
      </c>
      <c r="N80" s="288">
        <f>INDEX('3-Statement Model'!$BF$167:$BJ$191,MATCH('Key Assumptions + Summary'!$K80,'3-Statement Model'!$C$167:$C$191,0),MATCH('Key Assumptions + Summary'!N$7,'3-Statement Model'!$BF$11:$BJ$11,0))/1000</f>
        <v>0</v>
      </c>
      <c r="O80" s="288">
        <f>INDEX('3-Statement Model'!$BF$167:$BJ$191,MATCH('Key Assumptions + Summary'!$K80,'3-Statement Model'!$C$167:$C$191,0),MATCH('Key Assumptions + Summary'!O$7,'3-Statement Model'!$BF$11:$BJ$11,0))/1000</f>
        <v>0</v>
      </c>
      <c r="P80" s="288">
        <f>INDEX('3-Statement Model'!$BF$167:$BJ$191,MATCH('Key Assumptions + Summary'!$K80,'3-Statement Model'!$C$167:$C$191,0),MATCH('Key Assumptions + Summary'!P$7,'3-Statement Model'!$BF$11:$BJ$11,0))/1000</f>
        <v>0</v>
      </c>
    </row>
    <row r="81" spans="2:16" x14ac:dyDescent="0.2">
      <c r="C81" s="78" t="s">
        <v>25</v>
      </c>
      <c r="D81" s="92" t="s">
        <v>448</v>
      </c>
      <c r="E81" s="93">
        <v>0.1</v>
      </c>
      <c r="F81" s="93">
        <v>0.1</v>
      </c>
      <c r="G81" s="93">
        <v>0.1</v>
      </c>
      <c r="H81" s="93">
        <v>0.1</v>
      </c>
      <c r="K81" s="132" t="s">
        <v>202</v>
      </c>
      <c r="L81" s="289">
        <f>INDEX('3-Statement Model'!$BF$167:$BJ$191,MATCH('Key Assumptions + Summary'!$K81,'3-Statement Model'!$C$167:$C$191,0),MATCH('Key Assumptions + Summary'!L$7,'3-Statement Model'!$BF$11:$BJ$11,0))/1000</f>
        <v>0</v>
      </c>
      <c r="M81" s="289">
        <f>INDEX('3-Statement Model'!$BF$167:$BJ$191,MATCH('Key Assumptions + Summary'!$K81,'3-Statement Model'!$C$167:$C$191,0),MATCH('Key Assumptions + Summary'!M$7,'3-Statement Model'!$BF$11:$BJ$11,0))/1000</f>
        <v>0</v>
      </c>
      <c r="N81" s="289">
        <f>INDEX('3-Statement Model'!$BF$167:$BJ$191,MATCH('Key Assumptions + Summary'!$K81,'3-Statement Model'!$C$167:$C$191,0),MATCH('Key Assumptions + Summary'!N$7,'3-Statement Model'!$BF$11:$BJ$11,0))/1000</f>
        <v>0</v>
      </c>
      <c r="O81" s="289">
        <f>INDEX('3-Statement Model'!$BF$167:$BJ$191,MATCH('Key Assumptions + Summary'!$K81,'3-Statement Model'!$C$167:$C$191,0),MATCH('Key Assumptions + Summary'!O$7,'3-Statement Model'!$BF$11:$BJ$11,0))/1000</f>
        <v>0</v>
      </c>
      <c r="P81" s="289">
        <f>INDEX('3-Statement Model'!$BF$167:$BJ$191,MATCH('Key Assumptions + Summary'!$K81,'3-Statement Model'!$C$167:$C$191,0),MATCH('Key Assumptions + Summary'!P$7,'3-Statement Model'!$BF$11:$BJ$11,0))/1000</f>
        <v>0</v>
      </c>
    </row>
    <row r="83" spans="2:16" x14ac:dyDescent="0.2">
      <c r="C83" s="64" t="s">
        <v>374</v>
      </c>
      <c r="D83" s="158"/>
      <c r="E83" s="159"/>
      <c r="F83" s="158"/>
      <c r="G83" s="158"/>
      <c r="H83" s="158"/>
      <c r="K83" s="68" t="s">
        <v>476</v>
      </c>
    </row>
    <row r="84" spans="2:16" x14ac:dyDescent="0.2">
      <c r="K84" s="63" t="s">
        <v>210</v>
      </c>
      <c r="L84" s="288">
        <f>INDEX('3-Statement Model'!$BF$167:$BJ$191,MATCH('Key Assumptions + Summary'!$K84,'3-Statement Model'!$C$167:$C$191,0),MATCH('Key Assumptions + Summary'!L$7,'3-Statement Model'!$BF$11:$BJ$11,0))/1000</f>
        <v>1630</v>
      </c>
      <c r="M84" s="288">
        <f>INDEX('3-Statement Model'!$BF$167:$BJ$191,MATCH('Key Assumptions + Summary'!$K84,'3-Statement Model'!$C$167:$C$191,0),MATCH('Key Assumptions + Summary'!M$7,'3-Statement Model'!$BF$11:$BJ$11,0))/1000</f>
        <v>0</v>
      </c>
      <c r="N84" s="288">
        <f>INDEX('3-Statement Model'!$BF$167:$BJ$191,MATCH('Key Assumptions + Summary'!$K84,'3-Statement Model'!$C$167:$C$191,0),MATCH('Key Assumptions + Summary'!N$7,'3-Statement Model'!$BF$11:$BJ$11,0))/1000</f>
        <v>0</v>
      </c>
      <c r="O84" s="288">
        <f>INDEX('3-Statement Model'!$BF$167:$BJ$191,MATCH('Key Assumptions + Summary'!$K84,'3-Statement Model'!$C$167:$C$191,0),MATCH('Key Assumptions + Summary'!O$7,'3-Statement Model'!$BF$11:$BJ$11,0))/1000</f>
        <v>0</v>
      </c>
      <c r="P84" s="288">
        <f>INDEX('3-Statement Model'!$BF$167:$BJ$191,MATCH('Key Assumptions + Summary'!$K84,'3-Statement Model'!$C$167:$C$191,0),MATCH('Key Assumptions + Summary'!P$7,'3-Statement Model'!$BF$11:$BJ$11,0))/1000</f>
        <v>0</v>
      </c>
    </row>
    <row r="85" spans="2:16" x14ac:dyDescent="0.2">
      <c r="C85" s="23" t="s">
        <v>375</v>
      </c>
      <c r="D85" s="93">
        <v>0.23</v>
      </c>
      <c r="K85" s="132" t="s">
        <v>204</v>
      </c>
      <c r="L85" s="289">
        <f>INDEX('3-Statement Model'!$BF$167:$BJ$191,MATCH('Key Assumptions + Summary'!$K85,'3-Statement Model'!$C$167:$C$191,0),MATCH('Key Assumptions + Summary'!L$7,'3-Statement Model'!$BF$11:$BJ$11,0))/1000</f>
        <v>1630</v>
      </c>
      <c r="M85" s="289">
        <f>INDEX('3-Statement Model'!$BF$167:$BJ$191,MATCH('Key Assumptions + Summary'!$K85,'3-Statement Model'!$C$167:$C$191,0),MATCH('Key Assumptions + Summary'!M$7,'3-Statement Model'!$BF$11:$BJ$11,0))/1000</f>
        <v>0</v>
      </c>
      <c r="N85" s="289">
        <f>INDEX('3-Statement Model'!$BF$167:$BJ$191,MATCH('Key Assumptions + Summary'!$K85,'3-Statement Model'!$C$167:$C$191,0),MATCH('Key Assumptions + Summary'!N$7,'3-Statement Model'!$BF$11:$BJ$11,0))/1000</f>
        <v>0</v>
      </c>
      <c r="O85" s="289">
        <f>INDEX('3-Statement Model'!$BF$167:$BJ$191,MATCH('Key Assumptions + Summary'!$K85,'3-Statement Model'!$C$167:$C$191,0),MATCH('Key Assumptions + Summary'!O$7,'3-Statement Model'!$BF$11:$BJ$11,0))/1000</f>
        <v>0</v>
      </c>
      <c r="P85" s="289">
        <f>INDEX('3-Statement Model'!$BF$167:$BJ$191,MATCH('Key Assumptions + Summary'!$K85,'3-Statement Model'!$C$167:$C$191,0),MATCH('Key Assumptions + Summary'!P$7,'3-Statement Model'!$BF$11:$BJ$11,0))/1000</f>
        <v>0</v>
      </c>
    </row>
    <row r="86" spans="2:16" x14ac:dyDescent="0.2">
      <c r="C86" s="23"/>
    </row>
    <row r="87" spans="2:16" x14ac:dyDescent="0.2">
      <c r="C87" s="23" t="s">
        <v>453</v>
      </c>
      <c r="D87" s="88">
        <v>5200000</v>
      </c>
      <c r="E87" s="10"/>
      <c r="K87" s="68" t="s">
        <v>205</v>
      </c>
    </row>
    <row r="88" spans="2:16" x14ac:dyDescent="0.2">
      <c r="K88" s="63" t="s">
        <v>206</v>
      </c>
      <c r="L88" s="288">
        <f>INDEX('3-Statement Model'!$BF$167:$BJ$191,MATCH('Key Assumptions + Summary'!$K88,'3-Statement Model'!$C$167:$C$191,0),MATCH('Key Assumptions + Summary'!L$7,'3-Statement Model'!$BF$11:$BJ$11,0))/1000</f>
        <v>683.54281000000003</v>
      </c>
      <c r="M88" s="288">
        <f>INDEX('3-Statement Model'!$BF$167:$BJ$191,MATCH('Key Assumptions + Summary'!$K88,'3-Statement Model'!$C$167:$C$191,0),MATCH('Key Assumptions + Summary'!M$7,'3-Statement Model'!$BF$11:$BJ$11,0))/1000</f>
        <v>1235.7932339602116</v>
      </c>
      <c r="N88" s="288">
        <f>INDEX('3-Statement Model'!$BF$167:$BJ$191,MATCH('Key Assumptions + Summary'!$K88,'3-Statement Model'!$C$167:$C$191,0),MATCH('Key Assumptions + Summary'!N$7,'3-Statement Model'!$BF$11:$BJ$11,0))/1000</f>
        <v>163.02602859688736</v>
      </c>
      <c r="O88" s="288">
        <f>INDEX('3-Statement Model'!$BF$167:$BJ$191,MATCH('Key Assumptions + Summary'!$K88,'3-Statement Model'!$C$167:$C$191,0),MATCH('Key Assumptions + Summary'!O$7,'3-Statement Model'!$BF$11:$BJ$11,0))/1000</f>
        <v>2700.5004806779475</v>
      </c>
      <c r="P88" s="288">
        <f>INDEX('3-Statement Model'!$BF$167:$BJ$191,MATCH('Key Assumptions + Summary'!$K88,'3-Statement Model'!$C$167:$C$191,0),MATCH('Key Assumptions + Summary'!P$7,'3-Statement Model'!$BF$11:$BJ$11,0))/1000</f>
        <v>9463.9353975333161</v>
      </c>
    </row>
    <row r="89" spans="2:16" x14ac:dyDescent="0.2">
      <c r="K89" s="135" t="s">
        <v>207</v>
      </c>
      <c r="L89" s="293">
        <f>INDEX('3-Statement Model'!$BF$167:$BJ$191,MATCH('Key Assumptions + Summary'!$K89,'3-Statement Model'!$C$167:$C$191,0),MATCH('Key Assumptions + Summary'!L$7,'3-Statement Model'!$BF$11:$BJ$11,0))/1000</f>
        <v>1235.7932339602116</v>
      </c>
      <c r="M89" s="293">
        <f>INDEX('3-Statement Model'!$BF$167:$BJ$191,MATCH('Key Assumptions + Summary'!$K89,'3-Statement Model'!$C$167:$C$191,0),MATCH('Key Assumptions + Summary'!M$7,'3-Statement Model'!$BF$11:$BJ$11,0))/1000</f>
        <v>163.02602859688736</v>
      </c>
      <c r="N89" s="293">
        <f>INDEX('3-Statement Model'!$BF$167:$BJ$191,MATCH('Key Assumptions + Summary'!$K89,'3-Statement Model'!$C$167:$C$191,0),MATCH('Key Assumptions + Summary'!N$7,'3-Statement Model'!$BF$11:$BJ$11,0))/1000</f>
        <v>2700.5004806779475</v>
      </c>
      <c r="O89" s="293">
        <f>INDEX('3-Statement Model'!$BF$167:$BJ$191,MATCH('Key Assumptions + Summary'!$K89,'3-Statement Model'!$C$167:$C$191,0),MATCH('Key Assumptions + Summary'!O$7,'3-Statement Model'!$BF$11:$BJ$11,0))/1000</f>
        <v>9463.9353975333161</v>
      </c>
      <c r="P89" s="293">
        <f>INDEX('3-Statement Model'!$BF$167:$BJ$191,MATCH('Key Assumptions + Summary'!$K89,'3-Statement Model'!$C$167:$C$191,0),MATCH('Key Assumptions + Summary'!P$7,'3-Statement Model'!$BF$11:$BJ$11,0))/1000</f>
        <v>24458.155602639974</v>
      </c>
    </row>
    <row r="90" spans="2:16" x14ac:dyDescent="0.2">
      <c r="B90" s="11" t="s">
        <v>233</v>
      </c>
      <c r="C90" s="11"/>
      <c r="D90" s="11"/>
      <c r="E90" s="11"/>
      <c r="F90" s="11"/>
      <c r="G90" s="11"/>
      <c r="H90" s="11"/>
      <c r="I90" s="11"/>
    </row>
    <row r="91" spans="2:16" x14ac:dyDescent="0.2">
      <c r="C91" s="22"/>
      <c r="D91" s="10"/>
      <c r="E91" s="10"/>
      <c r="F91" s="10"/>
      <c r="G91" s="10"/>
      <c r="H91" s="10"/>
      <c r="I91" s="10"/>
    </row>
    <row r="92" spans="2:16" ht="13.5" thickBot="1" x14ac:dyDescent="0.25">
      <c r="C92" s="16"/>
      <c r="D92" s="54" t="s">
        <v>55</v>
      </c>
      <c r="E92" s="54" t="s">
        <v>56</v>
      </c>
      <c r="F92" s="59" t="s">
        <v>70</v>
      </c>
      <c r="G92" s="54" t="s">
        <v>69</v>
      </c>
      <c r="H92" s="59" t="s">
        <v>10</v>
      </c>
    </row>
    <row r="93" spans="2:16" x14ac:dyDescent="0.2">
      <c r="C93" s="22"/>
      <c r="D93" s="30"/>
      <c r="E93" s="30"/>
      <c r="F93" s="30"/>
      <c r="G93" s="30"/>
      <c r="H93" s="30"/>
    </row>
    <row r="94" spans="2:16" x14ac:dyDescent="0.2">
      <c r="C94" s="29" t="s">
        <v>57</v>
      </c>
      <c r="D94" s="10"/>
      <c r="E94" s="10"/>
      <c r="F94" s="10"/>
      <c r="G94" s="10"/>
      <c r="H94" s="10"/>
    </row>
    <row r="95" spans="2:16" x14ac:dyDescent="0.2">
      <c r="C95" s="23" t="s">
        <v>59</v>
      </c>
      <c r="D95" s="40">
        <v>750000</v>
      </c>
      <c r="E95" s="40">
        <v>2000000</v>
      </c>
      <c r="F95" s="56">
        <f>SUM(D95:E95)</f>
        <v>2750000</v>
      </c>
      <c r="G95" s="40">
        <v>0</v>
      </c>
      <c r="H95" s="56">
        <f>SUM(F95:G95)</f>
        <v>2750000</v>
      </c>
    </row>
    <row r="96" spans="2:16" x14ac:dyDescent="0.2">
      <c r="C96" s="46"/>
      <c r="D96" s="10"/>
      <c r="E96" s="10"/>
      <c r="F96" s="57"/>
      <c r="G96" s="10"/>
      <c r="H96" s="57"/>
    </row>
    <row r="97" spans="3:8" x14ac:dyDescent="0.2">
      <c r="C97" s="45" t="s">
        <v>64</v>
      </c>
      <c r="D97" s="47">
        <f>SUM(D95:D96)</f>
        <v>750000</v>
      </c>
      <c r="E97" s="47">
        <f>SUM(E95:E96)</f>
        <v>2000000</v>
      </c>
      <c r="F97" s="58">
        <f>SUM(F95:F96)</f>
        <v>2750000</v>
      </c>
      <c r="G97" s="47">
        <f>SUM(G95:G96)</f>
        <v>0</v>
      </c>
      <c r="H97" s="58">
        <f>SUM(H95:H96)</f>
        <v>2750000</v>
      </c>
    </row>
    <row r="98" spans="3:8" x14ac:dyDescent="0.2">
      <c r="C98" s="22"/>
      <c r="D98" s="10"/>
      <c r="E98" s="10"/>
      <c r="F98" s="10"/>
      <c r="G98" s="10"/>
      <c r="H98" s="10"/>
    </row>
    <row r="99" spans="3:8" x14ac:dyDescent="0.2">
      <c r="C99" s="29" t="s">
        <v>58</v>
      </c>
      <c r="D99" s="10"/>
      <c r="E99" s="10"/>
      <c r="F99" s="10"/>
      <c r="G99" s="10"/>
      <c r="H99" s="10"/>
    </row>
    <row r="100" spans="3:8" x14ac:dyDescent="0.2">
      <c r="C100" s="23" t="s">
        <v>60</v>
      </c>
      <c r="D100" s="40">
        <f>D95*0.08</f>
        <v>60000</v>
      </c>
      <c r="E100" s="40">
        <f>E95*0.08</f>
        <v>160000</v>
      </c>
      <c r="F100" s="56">
        <f t="shared" ref="F100:F105" si="15">SUM(D100:E100)</f>
        <v>220000</v>
      </c>
      <c r="G100" s="40">
        <f>G95*0.08</f>
        <v>0</v>
      </c>
      <c r="H100" s="56">
        <f t="shared" ref="H100:H105" si="16">SUM(F100:G100)</f>
        <v>220000</v>
      </c>
    </row>
    <row r="101" spans="3:8" x14ac:dyDescent="0.2">
      <c r="C101" s="23" t="s">
        <v>61</v>
      </c>
      <c r="D101" s="40">
        <v>15000</v>
      </c>
      <c r="E101" s="40">
        <v>135000</v>
      </c>
      <c r="F101" s="56">
        <f t="shared" si="15"/>
        <v>150000</v>
      </c>
      <c r="G101" s="40">
        <f t="shared" ref="G101:G104" si="17">G96*0.08</f>
        <v>0</v>
      </c>
      <c r="H101" s="56">
        <f t="shared" si="16"/>
        <v>150000</v>
      </c>
    </row>
    <row r="102" spans="3:8" x14ac:dyDescent="0.2">
      <c r="C102" s="23" t="s">
        <v>62</v>
      </c>
      <c r="D102" s="40">
        <v>0</v>
      </c>
      <c r="E102" s="40">
        <v>50000</v>
      </c>
      <c r="F102" s="56">
        <f t="shared" si="15"/>
        <v>50000</v>
      </c>
      <c r="G102" s="40">
        <f t="shared" si="17"/>
        <v>0</v>
      </c>
      <c r="H102" s="56">
        <f t="shared" si="16"/>
        <v>50000</v>
      </c>
    </row>
    <row r="103" spans="3:8" x14ac:dyDescent="0.2">
      <c r="C103" s="23" t="s">
        <v>47</v>
      </c>
      <c r="D103" s="40">
        <v>10000</v>
      </c>
      <c r="E103" s="40">
        <v>15000</v>
      </c>
      <c r="F103" s="56">
        <f t="shared" si="15"/>
        <v>25000</v>
      </c>
      <c r="G103" s="40">
        <f t="shared" si="17"/>
        <v>0</v>
      </c>
      <c r="H103" s="56">
        <f t="shared" si="16"/>
        <v>25000</v>
      </c>
    </row>
    <row r="104" spans="3:8" x14ac:dyDescent="0.2">
      <c r="C104" s="23" t="s">
        <v>63</v>
      </c>
      <c r="D104" s="40">
        <v>10000</v>
      </c>
      <c r="E104" s="40">
        <v>10000</v>
      </c>
      <c r="F104" s="56">
        <f t="shared" si="15"/>
        <v>20000</v>
      </c>
      <c r="G104" s="40">
        <f t="shared" si="17"/>
        <v>0</v>
      </c>
      <c r="H104" s="56">
        <f t="shared" si="16"/>
        <v>20000</v>
      </c>
    </row>
    <row r="105" spans="3:8" x14ac:dyDescent="0.2">
      <c r="C105" s="23" t="s">
        <v>66</v>
      </c>
      <c r="D105" s="40">
        <f>D97-SUM(D100:D104)</f>
        <v>655000</v>
      </c>
      <c r="E105" s="40">
        <f>E97-SUM(E100:E104)</f>
        <v>1630000</v>
      </c>
      <c r="F105" s="56">
        <f t="shared" si="15"/>
        <v>2285000</v>
      </c>
      <c r="G105" s="40">
        <f>G97-SUM(G100:G104)</f>
        <v>0</v>
      </c>
      <c r="H105" s="56">
        <f t="shared" si="16"/>
        <v>2285000</v>
      </c>
    </row>
    <row r="106" spans="3:8" x14ac:dyDescent="0.2">
      <c r="C106" s="45" t="s">
        <v>65</v>
      </c>
      <c r="D106" s="47">
        <f>SUM(D100:D105)</f>
        <v>750000</v>
      </c>
      <c r="E106" s="47">
        <f>SUM(E100:E105)</f>
        <v>2000000</v>
      </c>
      <c r="F106" s="58">
        <f>SUM(F100:F105)</f>
        <v>2750000</v>
      </c>
      <c r="G106" s="47">
        <f>SUM(G100:G105)</f>
        <v>0</v>
      </c>
      <c r="H106" s="58">
        <f>SUM(H100:H105)</f>
        <v>2750000</v>
      </c>
    </row>
    <row r="107" spans="3:8" x14ac:dyDescent="0.2">
      <c r="C107" s="22"/>
      <c r="D107" s="10"/>
      <c r="E107" s="10"/>
      <c r="F107" s="10"/>
      <c r="G107" s="10"/>
      <c r="H107" s="7"/>
    </row>
    <row r="108" spans="3:8" x14ac:dyDescent="0.2">
      <c r="C108" s="22" t="s">
        <v>68</v>
      </c>
      <c r="D108" s="55">
        <v>45230</v>
      </c>
      <c r="E108" s="55">
        <v>45322</v>
      </c>
      <c r="F108" s="10"/>
      <c r="G108" s="55">
        <v>0</v>
      </c>
      <c r="H108" s="7"/>
    </row>
  </sheetData>
  <dataConsolidate/>
  <dataValidations count="1">
    <dataValidation type="list" allowBlank="1" showInputMessage="1" showErrorMessage="1" sqref="D13:D15 D23:D25 D108:E108 D66 D61 E49:E53" xr:uid="{FC7F36F8-0836-4594-94D7-AA0EBEC41984}">
      <formula1>$S$11:$S$38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CF85A-7E78-4030-8A7B-7A17F92009E4}">
  <sheetPr>
    <tabColor theme="9" tint="0.39997558519241921"/>
  </sheetPr>
  <dimension ref="A1:BK252"/>
  <sheetViews>
    <sheetView showGridLines="0" zoomScale="90" zoomScaleNormal="90" workbookViewId="0">
      <pane xSplit="3" ySplit="7" topLeftCell="D17" activePane="bottomRight" state="frozen"/>
      <selection pane="topRight" activeCell="D1" sqref="D1"/>
      <selection pane="bottomLeft" activeCell="A8" sqref="A8"/>
      <selection pane="bottomRight" activeCell="BC17" sqref="BC17"/>
    </sheetView>
  </sheetViews>
  <sheetFormatPr defaultColWidth="9" defaultRowHeight="12.75" outlineLevelRow="1" outlineLevelCol="1" x14ac:dyDescent="0.2"/>
  <cols>
    <col min="1" max="2" width="1.5" style="7" customWidth="1"/>
    <col min="3" max="3" width="37.625" style="7" bestFit="1" customWidth="1"/>
    <col min="4" max="5" width="2.125" style="7" customWidth="1"/>
    <col min="6" max="8" width="10.625" style="7" customWidth="1"/>
    <col min="9" max="9" width="11.125" style="7" bestFit="1" customWidth="1"/>
    <col min="10" max="10" width="12.125" style="7" bestFit="1" customWidth="1"/>
    <col min="11" max="11" width="2.625" style="7" customWidth="1"/>
    <col min="12" max="47" width="13.625" style="7" hidden="1" customWidth="1" outlineLevel="1"/>
    <col min="48" max="48" width="9.625" style="7" bestFit="1" customWidth="1" collapsed="1"/>
    <col min="49" max="56" width="13.625" style="7" customWidth="1"/>
    <col min="57" max="57" width="9.625" style="7" bestFit="1" customWidth="1"/>
    <col min="58" max="62" width="13.625" style="7" customWidth="1"/>
    <col min="63" max="63" width="10" style="7" bestFit="1" customWidth="1"/>
    <col min="64" max="16384" width="9" style="7"/>
  </cols>
  <sheetData>
    <row r="1" spans="1:63" x14ac:dyDescent="0.2">
      <c r="A1" s="7" t="s">
        <v>446</v>
      </c>
    </row>
    <row r="2" spans="1:63" x14ac:dyDescent="0.2">
      <c r="B2" s="4" t="s">
        <v>29</v>
      </c>
      <c r="C2" s="4"/>
      <c r="D2" s="5"/>
      <c r="E2" s="5"/>
      <c r="F2" s="5"/>
      <c r="G2" s="5"/>
      <c r="H2" s="5"/>
      <c r="I2" s="5"/>
      <c r="J2" s="5"/>
      <c r="K2" s="5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W2" s="6"/>
      <c r="AX2" s="6"/>
      <c r="AY2" s="6"/>
      <c r="AZ2" s="6"/>
      <c r="BA2" s="6"/>
      <c r="BB2" s="6"/>
      <c r="BC2" s="6"/>
      <c r="BD2" s="6"/>
      <c r="BF2" s="6"/>
      <c r="BG2" s="6"/>
      <c r="BH2" s="6"/>
      <c r="BI2" s="6"/>
      <c r="BJ2" s="6"/>
    </row>
    <row r="3" spans="1:63" x14ac:dyDescent="0.2">
      <c r="B3" s="8" t="s">
        <v>232</v>
      </c>
      <c r="C3" s="9"/>
      <c r="D3" s="5"/>
      <c r="E3" s="5"/>
      <c r="F3" s="5"/>
      <c r="G3" s="5"/>
      <c r="H3" s="5"/>
      <c r="I3" s="5"/>
      <c r="J3" s="5"/>
      <c r="K3" s="5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W3" s="6"/>
      <c r="AX3" s="6"/>
      <c r="AY3" s="6"/>
      <c r="AZ3" s="6"/>
      <c r="BA3" s="6"/>
      <c r="BB3" s="6"/>
      <c r="BC3" s="6"/>
      <c r="BD3" s="6"/>
      <c r="BF3" s="6"/>
      <c r="BG3" s="6"/>
      <c r="BH3" s="6"/>
      <c r="BI3" s="6"/>
      <c r="BJ3" s="6"/>
    </row>
    <row r="4" spans="1:63" x14ac:dyDescent="0.2"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W4" s="10"/>
      <c r="AX4" s="10"/>
      <c r="AY4" s="10"/>
      <c r="AZ4" s="10"/>
      <c r="BA4" s="10"/>
      <c r="BB4" s="10"/>
      <c r="BC4" s="10"/>
      <c r="BD4" s="10"/>
      <c r="BF4" s="10"/>
      <c r="BG4" s="10"/>
      <c r="BH4" s="10"/>
      <c r="BI4" s="10"/>
      <c r="BJ4" s="10"/>
    </row>
    <row r="5" spans="1:63" ht="13.5" thickBot="1" x14ac:dyDescent="0.25">
      <c r="C5" s="15" t="s">
        <v>44</v>
      </c>
      <c r="D5" s="16"/>
      <c r="E5" s="16"/>
      <c r="F5" s="16"/>
      <c r="G5" s="16"/>
      <c r="H5" s="16"/>
      <c r="I5" s="16"/>
      <c r="J5" s="16"/>
      <c r="K5" s="16"/>
      <c r="L5" s="17">
        <v>44957</v>
      </c>
      <c r="M5" s="17">
        <f>EOMONTH(L5,1)</f>
        <v>44985</v>
      </c>
      <c r="N5" s="17">
        <f t="shared" ref="N5:AU5" si="0">EOMONTH(M5,1)</f>
        <v>45016</v>
      </c>
      <c r="O5" s="17">
        <f t="shared" si="0"/>
        <v>45046</v>
      </c>
      <c r="P5" s="17">
        <f t="shared" si="0"/>
        <v>45077</v>
      </c>
      <c r="Q5" s="17">
        <f t="shared" si="0"/>
        <v>45107</v>
      </c>
      <c r="R5" s="17">
        <f t="shared" si="0"/>
        <v>45138</v>
      </c>
      <c r="S5" s="17">
        <f t="shared" si="0"/>
        <v>45169</v>
      </c>
      <c r="T5" s="17">
        <f t="shared" si="0"/>
        <v>45199</v>
      </c>
      <c r="U5" s="17">
        <f t="shared" si="0"/>
        <v>45230</v>
      </c>
      <c r="V5" s="17">
        <f t="shared" si="0"/>
        <v>45260</v>
      </c>
      <c r="W5" s="17">
        <f t="shared" si="0"/>
        <v>45291</v>
      </c>
      <c r="X5" s="17">
        <f t="shared" si="0"/>
        <v>45322</v>
      </c>
      <c r="Y5" s="17">
        <f t="shared" si="0"/>
        <v>45351</v>
      </c>
      <c r="Z5" s="17">
        <f t="shared" si="0"/>
        <v>45382</v>
      </c>
      <c r="AA5" s="17">
        <f t="shared" si="0"/>
        <v>45412</v>
      </c>
      <c r="AB5" s="17">
        <f t="shared" si="0"/>
        <v>45443</v>
      </c>
      <c r="AC5" s="17">
        <f t="shared" si="0"/>
        <v>45473</v>
      </c>
      <c r="AD5" s="17">
        <f t="shared" si="0"/>
        <v>45504</v>
      </c>
      <c r="AE5" s="17">
        <f t="shared" si="0"/>
        <v>45535</v>
      </c>
      <c r="AF5" s="17">
        <f t="shared" si="0"/>
        <v>45565</v>
      </c>
      <c r="AG5" s="17">
        <f t="shared" si="0"/>
        <v>45596</v>
      </c>
      <c r="AH5" s="17">
        <f t="shared" si="0"/>
        <v>45626</v>
      </c>
      <c r="AI5" s="17">
        <f t="shared" si="0"/>
        <v>45657</v>
      </c>
      <c r="AJ5" s="17">
        <f t="shared" si="0"/>
        <v>45688</v>
      </c>
      <c r="AK5" s="17">
        <f t="shared" si="0"/>
        <v>45716</v>
      </c>
      <c r="AL5" s="17">
        <f t="shared" si="0"/>
        <v>45747</v>
      </c>
      <c r="AM5" s="17">
        <f t="shared" si="0"/>
        <v>45777</v>
      </c>
      <c r="AN5" s="17">
        <f t="shared" si="0"/>
        <v>45808</v>
      </c>
      <c r="AO5" s="17">
        <f t="shared" si="0"/>
        <v>45838</v>
      </c>
      <c r="AP5" s="17">
        <f t="shared" si="0"/>
        <v>45869</v>
      </c>
      <c r="AQ5" s="17">
        <f t="shared" si="0"/>
        <v>45900</v>
      </c>
      <c r="AR5" s="17">
        <f t="shared" si="0"/>
        <v>45930</v>
      </c>
      <c r="AS5" s="17">
        <f t="shared" si="0"/>
        <v>45961</v>
      </c>
      <c r="AT5" s="17">
        <f t="shared" si="0"/>
        <v>45991</v>
      </c>
      <c r="AU5" s="17">
        <f t="shared" si="0"/>
        <v>46022</v>
      </c>
      <c r="AV5" s="42">
        <f>EOMONTH(AW5,-3)</f>
        <v>45291</v>
      </c>
      <c r="AW5" s="17">
        <v>45382</v>
      </c>
      <c r="AX5" s="17">
        <f t="shared" ref="AX5:BD5" si="1">EOMONTH(AW5,3)</f>
        <v>45473</v>
      </c>
      <c r="AY5" s="17">
        <f t="shared" si="1"/>
        <v>45565</v>
      </c>
      <c r="AZ5" s="17">
        <f t="shared" si="1"/>
        <v>45657</v>
      </c>
      <c r="BA5" s="17">
        <f t="shared" si="1"/>
        <v>45747</v>
      </c>
      <c r="BB5" s="17">
        <f t="shared" si="1"/>
        <v>45838</v>
      </c>
      <c r="BC5" s="17">
        <f t="shared" si="1"/>
        <v>45930</v>
      </c>
      <c r="BD5" s="17">
        <f t="shared" si="1"/>
        <v>46022</v>
      </c>
      <c r="BE5" s="42">
        <f>EOMONTH(BF5,-12)</f>
        <v>45291</v>
      </c>
      <c r="BF5" s="17">
        <v>45657</v>
      </c>
      <c r="BG5" s="17">
        <f>EOMONTH(BF5,12)</f>
        <v>46022</v>
      </c>
      <c r="BH5" s="17">
        <f>EOMONTH(BG5,12)</f>
        <v>46387</v>
      </c>
      <c r="BI5" s="17">
        <f>EOMONTH(BH5,12)</f>
        <v>46752</v>
      </c>
      <c r="BJ5" s="17">
        <f>EOMONTH(BI5,12)</f>
        <v>47118</v>
      </c>
    </row>
    <row r="6" spans="1:63" x14ac:dyDescent="0.2">
      <c r="C6" s="18" t="s">
        <v>52</v>
      </c>
      <c r="D6" s="18"/>
      <c r="E6" s="18"/>
      <c r="F6" s="18"/>
      <c r="G6" s="18"/>
      <c r="H6" s="18"/>
      <c r="I6" s="18"/>
      <c r="J6" s="18"/>
      <c r="K6" s="18"/>
      <c r="L6" s="27">
        <v>1</v>
      </c>
      <c r="M6" s="28">
        <f>L6+1</f>
        <v>2</v>
      </c>
      <c r="N6" s="28">
        <f>M6+1</f>
        <v>3</v>
      </c>
      <c r="O6" s="28">
        <f>N6+1</f>
        <v>4</v>
      </c>
      <c r="P6" s="28">
        <f t="shared" ref="P6:AU6" si="2">O6+1</f>
        <v>5</v>
      </c>
      <c r="Q6" s="28">
        <f t="shared" si="2"/>
        <v>6</v>
      </c>
      <c r="R6" s="28">
        <f t="shared" si="2"/>
        <v>7</v>
      </c>
      <c r="S6" s="28">
        <f t="shared" si="2"/>
        <v>8</v>
      </c>
      <c r="T6" s="28">
        <f t="shared" si="2"/>
        <v>9</v>
      </c>
      <c r="U6" s="28">
        <f t="shared" si="2"/>
        <v>10</v>
      </c>
      <c r="V6" s="28">
        <f t="shared" si="2"/>
        <v>11</v>
      </c>
      <c r="W6" s="28">
        <f t="shared" si="2"/>
        <v>12</v>
      </c>
      <c r="X6" s="28">
        <f t="shared" si="2"/>
        <v>13</v>
      </c>
      <c r="Y6" s="28">
        <f t="shared" si="2"/>
        <v>14</v>
      </c>
      <c r="Z6" s="28">
        <f t="shared" si="2"/>
        <v>15</v>
      </c>
      <c r="AA6" s="28">
        <f t="shared" si="2"/>
        <v>16</v>
      </c>
      <c r="AB6" s="28">
        <f t="shared" si="2"/>
        <v>17</v>
      </c>
      <c r="AC6" s="28">
        <f t="shared" si="2"/>
        <v>18</v>
      </c>
      <c r="AD6" s="28">
        <f t="shared" si="2"/>
        <v>19</v>
      </c>
      <c r="AE6" s="28">
        <f t="shared" si="2"/>
        <v>20</v>
      </c>
      <c r="AF6" s="28">
        <f t="shared" si="2"/>
        <v>21</v>
      </c>
      <c r="AG6" s="28">
        <f t="shared" si="2"/>
        <v>22</v>
      </c>
      <c r="AH6" s="28">
        <f t="shared" si="2"/>
        <v>23</v>
      </c>
      <c r="AI6" s="28">
        <f t="shared" si="2"/>
        <v>24</v>
      </c>
      <c r="AJ6" s="28">
        <f t="shared" si="2"/>
        <v>25</v>
      </c>
      <c r="AK6" s="28">
        <f t="shared" si="2"/>
        <v>26</v>
      </c>
      <c r="AL6" s="28">
        <f t="shared" si="2"/>
        <v>27</v>
      </c>
      <c r="AM6" s="28">
        <f t="shared" si="2"/>
        <v>28</v>
      </c>
      <c r="AN6" s="28">
        <f t="shared" si="2"/>
        <v>29</v>
      </c>
      <c r="AO6" s="28">
        <f t="shared" si="2"/>
        <v>30</v>
      </c>
      <c r="AP6" s="28">
        <f t="shared" si="2"/>
        <v>31</v>
      </c>
      <c r="AQ6" s="28">
        <f t="shared" si="2"/>
        <v>32</v>
      </c>
      <c r="AR6" s="28">
        <f t="shared" si="2"/>
        <v>33</v>
      </c>
      <c r="AS6" s="28">
        <f t="shared" si="2"/>
        <v>34</v>
      </c>
      <c r="AT6" s="28">
        <f t="shared" si="2"/>
        <v>35</v>
      </c>
      <c r="AU6" s="28">
        <f t="shared" si="2"/>
        <v>36</v>
      </c>
      <c r="AW6" s="41">
        <f t="shared" ref="AW6:AX6" si="3">AV6+1</f>
        <v>1</v>
      </c>
      <c r="AX6" s="41">
        <f t="shared" si="3"/>
        <v>2</v>
      </c>
      <c r="AY6" s="41">
        <f>AX6+1</f>
        <v>3</v>
      </c>
      <c r="AZ6" s="41">
        <f>AY6+1</f>
        <v>4</v>
      </c>
      <c r="BA6" s="41">
        <f t="shared" ref="BA6" si="4">AZ6+1</f>
        <v>5</v>
      </c>
      <c r="BB6" s="41">
        <f>BA6+1</f>
        <v>6</v>
      </c>
      <c r="BC6" s="41">
        <f>BB6+1</f>
        <v>7</v>
      </c>
      <c r="BD6" s="41">
        <f>BC6+1</f>
        <v>8</v>
      </c>
      <c r="BF6" s="44">
        <f>BE6+1</f>
        <v>1</v>
      </c>
      <c r="BG6" s="44">
        <f t="shared" ref="BG6:BJ6" si="5">BF6+1</f>
        <v>2</v>
      </c>
      <c r="BH6" s="44">
        <f t="shared" si="5"/>
        <v>3</v>
      </c>
      <c r="BI6" s="44">
        <f t="shared" si="5"/>
        <v>4</v>
      </c>
      <c r="BJ6" s="44">
        <f t="shared" si="5"/>
        <v>5</v>
      </c>
    </row>
    <row r="7" spans="1:63" x14ac:dyDescent="0.2">
      <c r="C7" s="19" t="s">
        <v>53</v>
      </c>
      <c r="D7" s="20"/>
      <c r="E7" s="20"/>
      <c r="F7" s="20"/>
      <c r="G7" s="20"/>
      <c r="H7" s="20"/>
      <c r="I7" s="20"/>
      <c r="J7" s="20"/>
      <c r="K7" s="20"/>
      <c r="L7" s="21">
        <f>L5</f>
        <v>44957</v>
      </c>
      <c r="M7" s="21">
        <f t="shared" ref="M7:AU7" si="6">M5</f>
        <v>44985</v>
      </c>
      <c r="N7" s="21">
        <f t="shared" si="6"/>
        <v>45016</v>
      </c>
      <c r="O7" s="21">
        <f t="shared" si="6"/>
        <v>45046</v>
      </c>
      <c r="P7" s="21">
        <f t="shared" si="6"/>
        <v>45077</v>
      </c>
      <c r="Q7" s="21">
        <f t="shared" si="6"/>
        <v>45107</v>
      </c>
      <c r="R7" s="21">
        <f t="shared" si="6"/>
        <v>45138</v>
      </c>
      <c r="S7" s="21">
        <f t="shared" si="6"/>
        <v>45169</v>
      </c>
      <c r="T7" s="21">
        <f t="shared" si="6"/>
        <v>45199</v>
      </c>
      <c r="U7" s="21">
        <f t="shared" si="6"/>
        <v>45230</v>
      </c>
      <c r="V7" s="21">
        <f t="shared" si="6"/>
        <v>45260</v>
      </c>
      <c r="W7" s="21">
        <f t="shared" si="6"/>
        <v>45291</v>
      </c>
      <c r="X7" s="21">
        <f t="shared" si="6"/>
        <v>45322</v>
      </c>
      <c r="Y7" s="21">
        <f t="shared" si="6"/>
        <v>45351</v>
      </c>
      <c r="Z7" s="21">
        <f t="shared" si="6"/>
        <v>45382</v>
      </c>
      <c r="AA7" s="21">
        <f t="shared" si="6"/>
        <v>45412</v>
      </c>
      <c r="AB7" s="21">
        <f t="shared" si="6"/>
        <v>45443</v>
      </c>
      <c r="AC7" s="21">
        <f t="shared" si="6"/>
        <v>45473</v>
      </c>
      <c r="AD7" s="21">
        <f t="shared" si="6"/>
        <v>45504</v>
      </c>
      <c r="AE7" s="21">
        <f t="shared" si="6"/>
        <v>45535</v>
      </c>
      <c r="AF7" s="21">
        <f t="shared" si="6"/>
        <v>45565</v>
      </c>
      <c r="AG7" s="21">
        <f t="shared" si="6"/>
        <v>45596</v>
      </c>
      <c r="AH7" s="21">
        <f t="shared" si="6"/>
        <v>45626</v>
      </c>
      <c r="AI7" s="21">
        <f t="shared" si="6"/>
        <v>45657</v>
      </c>
      <c r="AJ7" s="21">
        <f t="shared" si="6"/>
        <v>45688</v>
      </c>
      <c r="AK7" s="21">
        <f t="shared" si="6"/>
        <v>45716</v>
      </c>
      <c r="AL7" s="21">
        <f t="shared" si="6"/>
        <v>45747</v>
      </c>
      <c r="AM7" s="21">
        <f t="shared" si="6"/>
        <v>45777</v>
      </c>
      <c r="AN7" s="21">
        <f t="shared" si="6"/>
        <v>45808</v>
      </c>
      <c r="AO7" s="21">
        <f t="shared" si="6"/>
        <v>45838</v>
      </c>
      <c r="AP7" s="21">
        <f t="shared" si="6"/>
        <v>45869</v>
      </c>
      <c r="AQ7" s="21">
        <f t="shared" si="6"/>
        <v>45900</v>
      </c>
      <c r="AR7" s="21">
        <f t="shared" si="6"/>
        <v>45930</v>
      </c>
      <c r="AS7" s="21">
        <f t="shared" si="6"/>
        <v>45961</v>
      </c>
      <c r="AT7" s="21">
        <f t="shared" si="6"/>
        <v>45991</v>
      </c>
      <c r="AU7" s="21">
        <f t="shared" si="6"/>
        <v>46022</v>
      </c>
      <c r="AW7" s="21">
        <f t="shared" ref="AW7:BD7" si="7">AW5</f>
        <v>45382</v>
      </c>
      <c r="AX7" s="21">
        <f t="shared" si="7"/>
        <v>45473</v>
      </c>
      <c r="AY7" s="21">
        <f t="shared" si="7"/>
        <v>45565</v>
      </c>
      <c r="AZ7" s="21">
        <f t="shared" si="7"/>
        <v>45657</v>
      </c>
      <c r="BA7" s="21">
        <f t="shared" si="7"/>
        <v>45747</v>
      </c>
      <c r="BB7" s="21">
        <f t="shared" si="7"/>
        <v>45838</v>
      </c>
      <c r="BC7" s="21">
        <f t="shared" si="7"/>
        <v>45930</v>
      </c>
      <c r="BD7" s="21">
        <f t="shared" si="7"/>
        <v>46022</v>
      </c>
      <c r="BF7" s="21">
        <f t="shared" ref="BF7" si="8">BF5</f>
        <v>45657</v>
      </c>
      <c r="BG7" s="21">
        <f>BG5</f>
        <v>46022</v>
      </c>
      <c r="BH7" s="21">
        <f>BH5</f>
        <v>46387</v>
      </c>
      <c r="BI7" s="21">
        <f>BI5</f>
        <v>46752</v>
      </c>
      <c r="BJ7" s="21">
        <f>BJ5</f>
        <v>47118</v>
      </c>
    </row>
    <row r="8" spans="1:63" x14ac:dyDescent="0.2">
      <c r="C8" s="22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W8" s="10"/>
      <c r="AX8" s="10"/>
      <c r="AY8" s="10"/>
      <c r="AZ8" s="10"/>
      <c r="BA8" s="10"/>
      <c r="BB8" s="10"/>
      <c r="BC8" s="10"/>
      <c r="BD8" s="10"/>
      <c r="BF8" s="10"/>
      <c r="BG8" s="10"/>
      <c r="BH8" s="10"/>
      <c r="BI8" s="10"/>
      <c r="BJ8" s="10"/>
    </row>
    <row r="9" spans="1:63" x14ac:dyDescent="0.2">
      <c r="B9" s="11" t="s">
        <v>87</v>
      </c>
      <c r="C9" s="11"/>
      <c r="D9" s="12"/>
      <c r="E9" s="12"/>
      <c r="F9" s="12"/>
      <c r="G9" s="13"/>
      <c r="H9" s="13"/>
      <c r="I9" s="13"/>
      <c r="J9" s="13"/>
      <c r="K9" s="13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W9" s="12"/>
      <c r="AX9" s="12"/>
      <c r="AY9" s="12"/>
      <c r="AZ9" s="12"/>
      <c r="BA9" s="12"/>
      <c r="BB9" s="12"/>
      <c r="BC9" s="12"/>
      <c r="BD9" s="12"/>
      <c r="BF9" s="12"/>
      <c r="BG9" s="12"/>
      <c r="BH9" s="12"/>
      <c r="BI9" s="12"/>
      <c r="BJ9" s="12"/>
    </row>
    <row r="10" spans="1:63" x14ac:dyDescent="0.2">
      <c r="C10" s="14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W10" s="10"/>
      <c r="AX10" s="10"/>
      <c r="AY10" s="10"/>
      <c r="AZ10" s="10"/>
      <c r="BA10" s="10"/>
      <c r="BB10" s="10"/>
      <c r="BC10" s="10"/>
      <c r="BD10" s="10"/>
      <c r="BF10" s="10"/>
      <c r="BG10" s="10"/>
      <c r="BH10" s="10"/>
      <c r="BI10" s="10"/>
      <c r="BJ10" s="10"/>
    </row>
    <row r="11" spans="1:63" ht="13.5" thickBot="1" x14ac:dyDescent="0.25">
      <c r="C11" s="15" t="s">
        <v>44</v>
      </c>
      <c r="D11" s="16"/>
      <c r="E11" s="16"/>
      <c r="F11" s="16"/>
      <c r="G11" s="16"/>
      <c r="H11" s="16"/>
      <c r="I11" s="16"/>
      <c r="J11" s="16"/>
      <c r="K11" s="16"/>
      <c r="L11" s="17">
        <v>44957</v>
      </c>
      <c r="M11" s="17">
        <f t="shared" ref="M11:AU11" si="9">EOMONTH(L11,1)</f>
        <v>44985</v>
      </c>
      <c r="N11" s="17">
        <f t="shared" si="9"/>
        <v>45016</v>
      </c>
      <c r="O11" s="17">
        <f t="shared" si="9"/>
        <v>45046</v>
      </c>
      <c r="P11" s="17">
        <f t="shared" si="9"/>
        <v>45077</v>
      </c>
      <c r="Q11" s="17">
        <f t="shared" si="9"/>
        <v>45107</v>
      </c>
      <c r="R11" s="17">
        <f t="shared" si="9"/>
        <v>45138</v>
      </c>
      <c r="S11" s="17">
        <f t="shared" si="9"/>
        <v>45169</v>
      </c>
      <c r="T11" s="17">
        <f t="shared" si="9"/>
        <v>45199</v>
      </c>
      <c r="U11" s="17">
        <f t="shared" si="9"/>
        <v>45230</v>
      </c>
      <c r="V11" s="17">
        <f t="shared" si="9"/>
        <v>45260</v>
      </c>
      <c r="W11" s="17">
        <f t="shared" si="9"/>
        <v>45291</v>
      </c>
      <c r="X11" s="17">
        <f t="shared" si="9"/>
        <v>45322</v>
      </c>
      <c r="Y11" s="17">
        <f t="shared" si="9"/>
        <v>45351</v>
      </c>
      <c r="Z11" s="17">
        <f t="shared" si="9"/>
        <v>45382</v>
      </c>
      <c r="AA11" s="17">
        <f t="shared" si="9"/>
        <v>45412</v>
      </c>
      <c r="AB11" s="17">
        <f t="shared" si="9"/>
        <v>45443</v>
      </c>
      <c r="AC11" s="17">
        <f t="shared" si="9"/>
        <v>45473</v>
      </c>
      <c r="AD11" s="17">
        <f t="shared" si="9"/>
        <v>45504</v>
      </c>
      <c r="AE11" s="17">
        <f t="shared" si="9"/>
        <v>45535</v>
      </c>
      <c r="AF11" s="17">
        <f t="shared" si="9"/>
        <v>45565</v>
      </c>
      <c r="AG11" s="17">
        <f t="shared" si="9"/>
        <v>45596</v>
      </c>
      <c r="AH11" s="17">
        <f t="shared" si="9"/>
        <v>45626</v>
      </c>
      <c r="AI11" s="17">
        <f t="shared" si="9"/>
        <v>45657</v>
      </c>
      <c r="AJ11" s="17">
        <f t="shared" si="9"/>
        <v>45688</v>
      </c>
      <c r="AK11" s="17">
        <f t="shared" si="9"/>
        <v>45716</v>
      </c>
      <c r="AL11" s="17">
        <f t="shared" si="9"/>
        <v>45747</v>
      </c>
      <c r="AM11" s="17">
        <f t="shared" si="9"/>
        <v>45777</v>
      </c>
      <c r="AN11" s="17">
        <f t="shared" si="9"/>
        <v>45808</v>
      </c>
      <c r="AO11" s="17">
        <f t="shared" si="9"/>
        <v>45838</v>
      </c>
      <c r="AP11" s="17">
        <f t="shared" si="9"/>
        <v>45869</v>
      </c>
      <c r="AQ11" s="17">
        <f t="shared" si="9"/>
        <v>45900</v>
      </c>
      <c r="AR11" s="17">
        <f t="shared" si="9"/>
        <v>45930</v>
      </c>
      <c r="AS11" s="17">
        <f t="shared" si="9"/>
        <v>45961</v>
      </c>
      <c r="AT11" s="17">
        <f t="shared" si="9"/>
        <v>45991</v>
      </c>
      <c r="AU11" s="17">
        <f t="shared" si="9"/>
        <v>46022</v>
      </c>
      <c r="AV11" s="42">
        <f>EOMONTH(AW11,-3)</f>
        <v>45291</v>
      </c>
      <c r="AW11" s="17">
        <v>45382</v>
      </c>
      <c r="AX11" s="17">
        <f t="shared" ref="AX11:BD11" si="10">EOMONTH(AW11,3)</f>
        <v>45473</v>
      </c>
      <c r="AY11" s="17">
        <f t="shared" si="10"/>
        <v>45565</v>
      </c>
      <c r="AZ11" s="17">
        <f t="shared" si="10"/>
        <v>45657</v>
      </c>
      <c r="BA11" s="17">
        <f t="shared" si="10"/>
        <v>45747</v>
      </c>
      <c r="BB11" s="17">
        <f t="shared" si="10"/>
        <v>45838</v>
      </c>
      <c r="BC11" s="17">
        <f t="shared" si="10"/>
        <v>45930</v>
      </c>
      <c r="BD11" s="17">
        <f t="shared" si="10"/>
        <v>46022</v>
      </c>
      <c r="BE11" s="42">
        <f>EOMONTH(BF11,-12)</f>
        <v>45291</v>
      </c>
      <c r="BF11" s="17">
        <v>45657</v>
      </c>
      <c r="BG11" s="17">
        <f>EOMONTH(BF11,12)</f>
        <v>46022</v>
      </c>
      <c r="BH11" s="17">
        <f>EOMONTH(BG11,12)</f>
        <v>46387</v>
      </c>
      <c r="BI11" s="17">
        <f>EOMONTH(BH11,12)</f>
        <v>46752</v>
      </c>
      <c r="BJ11" s="17">
        <f>EOMONTH(BI11,12)</f>
        <v>47118</v>
      </c>
    </row>
    <row r="12" spans="1:63" x14ac:dyDescent="0.2">
      <c r="C12" s="18" t="s">
        <v>52</v>
      </c>
      <c r="D12" s="18"/>
      <c r="E12" s="18"/>
      <c r="F12" s="18"/>
      <c r="G12" s="18"/>
      <c r="H12" s="18"/>
      <c r="I12" s="18"/>
      <c r="J12" s="18"/>
      <c r="K12" s="18"/>
      <c r="L12" s="27">
        <v>1</v>
      </c>
      <c r="M12" s="28">
        <f t="shared" ref="M12:AU12" si="11">L12+1</f>
        <v>2</v>
      </c>
      <c r="N12" s="28">
        <f t="shared" si="11"/>
        <v>3</v>
      </c>
      <c r="O12" s="28">
        <f t="shared" si="11"/>
        <v>4</v>
      </c>
      <c r="P12" s="28">
        <f t="shared" si="11"/>
        <v>5</v>
      </c>
      <c r="Q12" s="28">
        <f t="shared" si="11"/>
        <v>6</v>
      </c>
      <c r="R12" s="28">
        <f t="shared" si="11"/>
        <v>7</v>
      </c>
      <c r="S12" s="28">
        <f t="shared" si="11"/>
        <v>8</v>
      </c>
      <c r="T12" s="28">
        <f t="shared" si="11"/>
        <v>9</v>
      </c>
      <c r="U12" s="28">
        <f t="shared" si="11"/>
        <v>10</v>
      </c>
      <c r="V12" s="28">
        <f t="shared" si="11"/>
        <v>11</v>
      </c>
      <c r="W12" s="28">
        <f t="shared" si="11"/>
        <v>12</v>
      </c>
      <c r="X12" s="28">
        <f t="shared" si="11"/>
        <v>13</v>
      </c>
      <c r="Y12" s="28">
        <f t="shared" si="11"/>
        <v>14</v>
      </c>
      <c r="Z12" s="28">
        <f t="shared" si="11"/>
        <v>15</v>
      </c>
      <c r="AA12" s="28">
        <f t="shared" si="11"/>
        <v>16</v>
      </c>
      <c r="AB12" s="28">
        <f t="shared" si="11"/>
        <v>17</v>
      </c>
      <c r="AC12" s="28">
        <f t="shared" si="11"/>
        <v>18</v>
      </c>
      <c r="AD12" s="28">
        <f t="shared" si="11"/>
        <v>19</v>
      </c>
      <c r="AE12" s="28">
        <f t="shared" si="11"/>
        <v>20</v>
      </c>
      <c r="AF12" s="28">
        <f t="shared" si="11"/>
        <v>21</v>
      </c>
      <c r="AG12" s="28">
        <f t="shared" si="11"/>
        <v>22</v>
      </c>
      <c r="AH12" s="28">
        <f t="shared" si="11"/>
        <v>23</v>
      </c>
      <c r="AI12" s="28">
        <f t="shared" si="11"/>
        <v>24</v>
      </c>
      <c r="AJ12" s="28">
        <f t="shared" si="11"/>
        <v>25</v>
      </c>
      <c r="AK12" s="28">
        <f t="shared" si="11"/>
        <v>26</v>
      </c>
      <c r="AL12" s="28">
        <f t="shared" si="11"/>
        <v>27</v>
      </c>
      <c r="AM12" s="28">
        <f t="shared" si="11"/>
        <v>28</v>
      </c>
      <c r="AN12" s="28">
        <f t="shared" si="11"/>
        <v>29</v>
      </c>
      <c r="AO12" s="28">
        <f t="shared" si="11"/>
        <v>30</v>
      </c>
      <c r="AP12" s="28">
        <f t="shared" si="11"/>
        <v>31</v>
      </c>
      <c r="AQ12" s="28">
        <f t="shared" si="11"/>
        <v>32</v>
      </c>
      <c r="AR12" s="28">
        <f t="shared" si="11"/>
        <v>33</v>
      </c>
      <c r="AS12" s="28">
        <f t="shared" si="11"/>
        <v>34</v>
      </c>
      <c r="AT12" s="28">
        <f t="shared" si="11"/>
        <v>35</v>
      </c>
      <c r="AU12" s="28">
        <f t="shared" si="11"/>
        <v>36</v>
      </c>
      <c r="AW12" s="41">
        <f t="shared" ref="AW12:BD12" si="12">AV12+1</f>
        <v>1</v>
      </c>
      <c r="AX12" s="41">
        <f t="shared" si="12"/>
        <v>2</v>
      </c>
      <c r="AY12" s="41">
        <f t="shared" si="12"/>
        <v>3</v>
      </c>
      <c r="AZ12" s="41">
        <f t="shared" si="12"/>
        <v>4</v>
      </c>
      <c r="BA12" s="41">
        <f t="shared" si="12"/>
        <v>5</v>
      </c>
      <c r="BB12" s="41">
        <f t="shared" si="12"/>
        <v>6</v>
      </c>
      <c r="BC12" s="41">
        <f t="shared" si="12"/>
        <v>7</v>
      </c>
      <c r="BD12" s="41">
        <f t="shared" si="12"/>
        <v>8</v>
      </c>
      <c r="BF12" s="44">
        <f>BE12+1</f>
        <v>1</v>
      </c>
      <c r="BG12" s="44">
        <f>BF12+1</f>
        <v>2</v>
      </c>
      <c r="BH12" s="44">
        <f>BG12+1</f>
        <v>3</v>
      </c>
      <c r="BI12" s="44">
        <f>BH12+1</f>
        <v>4</v>
      </c>
      <c r="BJ12" s="44">
        <f>BI12+1</f>
        <v>5</v>
      </c>
    </row>
    <row r="13" spans="1:63" x14ac:dyDescent="0.2">
      <c r="C13" s="19" t="s">
        <v>53</v>
      </c>
      <c r="D13" s="20"/>
      <c r="E13" s="20"/>
      <c r="F13" s="20"/>
      <c r="G13" s="20"/>
      <c r="H13" s="20"/>
      <c r="I13" s="20"/>
      <c r="J13" s="20"/>
      <c r="K13" s="20"/>
      <c r="L13" s="21">
        <f t="shared" ref="L13:AU13" si="13">L11</f>
        <v>44957</v>
      </c>
      <c r="M13" s="21">
        <f t="shared" si="13"/>
        <v>44985</v>
      </c>
      <c r="N13" s="21">
        <f t="shared" si="13"/>
        <v>45016</v>
      </c>
      <c r="O13" s="21">
        <f t="shared" si="13"/>
        <v>45046</v>
      </c>
      <c r="P13" s="21">
        <f t="shared" si="13"/>
        <v>45077</v>
      </c>
      <c r="Q13" s="21">
        <f t="shared" si="13"/>
        <v>45107</v>
      </c>
      <c r="R13" s="21">
        <f t="shared" si="13"/>
        <v>45138</v>
      </c>
      <c r="S13" s="21">
        <f t="shared" si="13"/>
        <v>45169</v>
      </c>
      <c r="T13" s="21">
        <f t="shared" si="13"/>
        <v>45199</v>
      </c>
      <c r="U13" s="21">
        <f t="shared" si="13"/>
        <v>45230</v>
      </c>
      <c r="V13" s="21">
        <f t="shared" si="13"/>
        <v>45260</v>
      </c>
      <c r="W13" s="21">
        <f t="shared" si="13"/>
        <v>45291</v>
      </c>
      <c r="X13" s="21">
        <f t="shared" si="13"/>
        <v>45322</v>
      </c>
      <c r="Y13" s="21">
        <f t="shared" si="13"/>
        <v>45351</v>
      </c>
      <c r="Z13" s="21">
        <f t="shared" si="13"/>
        <v>45382</v>
      </c>
      <c r="AA13" s="21">
        <f t="shared" si="13"/>
        <v>45412</v>
      </c>
      <c r="AB13" s="21">
        <f t="shared" si="13"/>
        <v>45443</v>
      </c>
      <c r="AC13" s="21">
        <f t="shared" si="13"/>
        <v>45473</v>
      </c>
      <c r="AD13" s="21">
        <f t="shared" si="13"/>
        <v>45504</v>
      </c>
      <c r="AE13" s="21">
        <f t="shared" si="13"/>
        <v>45535</v>
      </c>
      <c r="AF13" s="21">
        <f t="shared" si="13"/>
        <v>45565</v>
      </c>
      <c r="AG13" s="21">
        <f t="shared" si="13"/>
        <v>45596</v>
      </c>
      <c r="AH13" s="21">
        <f t="shared" si="13"/>
        <v>45626</v>
      </c>
      <c r="AI13" s="21">
        <f t="shared" si="13"/>
        <v>45657</v>
      </c>
      <c r="AJ13" s="21">
        <f t="shared" si="13"/>
        <v>45688</v>
      </c>
      <c r="AK13" s="21">
        <f t="shared" si="13"/>
        <v>45716</v>
      </c>
      <c r="AL13" s="21">
        <f t="shared" si="13"/>
        <v>45747</v>
      </c>
      <c r="AM13" s="21">
        <f t="shared" si="13"/>
        <v>45777</v>
      </c>
      <c r="AN13" s="21">
        <f t="shared" si="13"/>
        <v>45808</v>
      </c>
      <c r="AO13" s="21">
        <f t="shared" si="13"/>
        <v>45838</v>
      </c>
      <c r="AP13" s="21">
        <f t="shared" si="13"/>
        <v>45869</v>
      </c>
      <c r="AQ13" s="21">
        <f t="shared" si="13"/>
        <v>45900</v>
      </c>
      <c r="AR13" s="21">
        <f t="shared" si="13"/>
        <v>45930</v>
      </c>
      <c r="AS13" s="21">
        <f t="shared" si="13"/>
        <v>45961</v>
      </c>
      <c r="AT13" s="21">
        <f t="shared" si="13"/>
        <v>45991</v>
      </c>
      <c r="AU13" s="21">
        <f t="shared" si="13"/>
        <v>46022</v>
      </c>
      <c r="AW13" s="21">
        <f t="shared" ref="AW13:BD13" si="14">AW11</f>
        <v>45382</v>
      </c>
      <c r="AX13" s="21">
        <f t="shared" si="14"/>
        <v>45473</v>
      </c>
      <c r="AY13" s="21">
        <f t="shared" si="14"/>
        <v>45565</v>
      </c>
      <c r="AZ13" s="21">
        <f t="shared" si="14"/>
        <v>45657</v>
      </c>
      <c r="BA13" s="21">
        <f t="shared" si="14"/>
        <v>45747</v>
      </c>
      <c r="BB13" s="21">
        <f t="shared" si="14"/>
        <v>45838</v>
      </c>
      <c r="BC13" s="21">
        <f t="shared" si="14"/>
        <v>45930</v>
      </c>
      <c r="BD13" s="21">
        <f t="shared" si="14"/>
        <v>46022</v>
      </c>
      <c r="BF13" s="21">
        <f>BF11</f>
        <v>45657</v>
      </c>
      <c r="BG13" s="21">
        <f>BG11</f>
        <v>46022</v>
      </c>
      <c r="BH13" s="21">
        <f>BH11</f>
        <v>46387</v>
      </c>
      <c r="BI13" s="21">
        <f>BI11</f>
        <v>46752</v>
      </c>
      <c r="BJ13" s="21">
        <f>BJ11</f>
        <v>47118</v>
      </c>
    </row>
    <row r="14" spans="1:63" x14ac:dyDescent="0.2">
      <c r="C14" s="22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W14" s="10"/>
      <c r="AX14" s="10"/>
      <c r="AY14" s="10"/>
      <c r="AZ14" s="10"/>
      <c r="BA14" s="10"/>
      <c r="BB14" s="10"/>
      <c r="BC14" s="10"/>
      <c r="BD14" s="10"/>
      <c r="BF14" s="10"/>
      <c r="BG14" s="10"/>
      <c r="BH14" s="10"/>
      <c r="BI14" s="10"/>
      <c r="BJ14" s="10"/>
    </row>
    <row r="15" spans="1:63" x14ac:dyDescent="0.2">
      <c r="C15" s="22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W15" s="10"/>
      <c r="AX15" s="10"/>
      <c r="AY15" s="10"/>
      <c r="AZ15" s="10"/>
      <c r="BA15" s="10"/>
      <c r="BB15" s="10"/>
      <c r="BC15" s="10"/>
      <c r="BD15" s="10"/>
      <c r="BF15" s="10"/>
      <c r="BG15" s="10"/>
      <c r="BH15" s="10"/>
      <c r="BI15" s="10"/>
      <c r="BJ15" s="10"/>
    </row>
    <row r="16" spans="1:63" x14ac:dyDescent="0.2">
      <c r="B16" s="22"/>
      <c r="C16" s="22" t="s">
        <v>442</v>
      </c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22"/>
      <c r="AW16" s="294">
        <f>INDEX('Sales, COGS, Sales Team'!$AW$20:$BD$158,MATCH('3-Statement Model'!$C16,'Sales, COGS, Sales Team'!$C$20:$C$158,0),MATCH('3-Statement Model'!AW$11,'Sales, COGS, Sales Team'!$AW$11:$BD$11,0))</f>
        <v>59899.500000000007</v>
      </c>
      <c r="AX16" s="294">
        <f>INDEX('Sales, COGS, Sales Team'!$AW$20:$BD$158,MATCH('3-Statement Model'!$C16,'Sales, COGS, Sales Team'!$C$20:$C$158,0),MATCH('3-Statement Model'!AX$11,'Sales, COGS, Sales Team'!$AW$11:$BD$11,0))</f>
        <v>233510.85</v>
      </c>
      <c r="AY16" s="294">
        <f>INDEX('Sales, COGS, Sales Team'!$AW$20:$BD$158,MATCH('3-Statement Model'!$C16,'Sales, COGS, Sales Team'!$C$20:$C$158,0),MATCH('3-Statement Model'!AY$11,'Sales, COGS, Sales Team'!$AW$11:$BD$11,0))</f>
        <v>281096.66925000004</v>
      </c>
      <c r="AZ16" s="294">
        <f>INDEX('Sales, COGS, Sales Team'!$AW$20:$BD$158,MATCH('3-Statement Model'!$C16,'Sales, COGS, Sales Team'!$C$20:$C$158,0),MATCH('3-Statement Model'!AZ$11,'Sales, COGS, Sales Team'!$AW$11:$BD$11,0))</f>
        <v>493593.75000000006</v>
      </c>
      <c r="BA16" s="294">
        <f>INDEX('Sales, COGS, Sales Team'!$AW$20:$BD$158,MATCH('3-Statement Model'!$C16,'Sales, COGS, Sales Team'!$C$20:$C$158,0),MATCH('3-Statement Model'!BA$11,'Sales, COGS, Sales Team'!$AW$11:$BD$11,0))</f>
        <v>957825.00000000012</v>
      </c>
      <c r="BB16" s="294">
        <f>INDEX('Sales, COGS, Sales Team'!$AW$20:$BD$158,MATCH('3-Statement Model'!$C16,'Sales, COGS, Sales Team'!$C$20:$C$158,0),MATCH('3-Statement Model'!BB$11,'Sales, COGS, Sales Team'!$AW$11:$BD$11,0))</f>
        <v>1225813.5000000002</v>
      </c>
      <c r="BC16" s="294">
        <f>INDEX('Sales, COGS, Sales Team'!$AW$20:$BD$158,MATCH('3-Statement Model'!$C16,'Sales, COGS, Sales Team'!$C$20:$C$158,0),MATCH('3-Statement Model'!BC$11,'Sales, COGS, Sales Team'!$AW$11:$BD$11,0))</f>
        <v>1452596.6925000001</v>
      </c>
      <c r="BD16" s="294">
        <f>INDEX('Sales, COGS, Sales Team'!$AW$20:$BD$158,MATCH('3-Statement Model'!$C16,'Sales, COGS, Sales Team'!$C$20:$C$158,0),MATCH('3-Statement Model'!BD$11,'Sales, COGS, Sales Team'!$AW$11:$BD$11,0))</f>
        <v>1678725.0000000002</v>
      </c>
      <c r="BF16" s="24">
        <f>SUMIFS($AW16:$BD16,$AW$11:$BD$11,"&gt;"&amp;BE$11,$AW$11:$BD$11,"&lt;="&amp;BF$11)</f>
        <v>1068100.7692500001</v>
      </c>
      <c r="BG16" s="24">
        <f>SUMIFS($AW16:$BD16,$AW$11:$BD$11,"&gt;"&amp;BF$11,$AW$11:$BD$11,"&lt;="&amp;BG$11)</f>
        <v>5314960.1925000008</v>
      </c>
      <c r="BH16" s="294">
        <f>INDEX('Sales, COGS, Sales Team'!$BH$20:$BJ$158,MATCH('3-Statement Model'!$C16,'Sales, COGS, Sales Team'!$C$20:$C$158,0),MATCH('3-Statement Model'!BH$11,'Sales, COGS, Sales Team'!$BH$11:$BJ$11,0))</f>
        <v>10177650</v>
      </c>
      <c r="BI16" s="294">
        <f>INDEX('Sales, COGS, Sales Team'!$BH$20:$BJ$158,MATCH('3-Statement Model'!$C16,'Sales, COGS, Sales Team'!$C$20:$C$158,0),MATCH('3-Statement Model'!BI$11,'Sales, COGS, Sales Team'!$BH$11:$BJ$11,0))</f>
        <v>21051900.000000004</v>
      </c>
      <c r="BJ16" s="294">
        <f>INDEX('Sales, COGS, Sales Team'!$BH$20:$BJ$158,MATCH('3-Statement Model'!$C16,'Sales, COGS, Sales Team'!$C$20:$C$158,0),MATCH('3-Statement Model'!BJ$11,'Sales, COGS, Sales Team'!$BH$11:$BJ$11,0))</f>
        <v>40836150.000000007</v>
      </c>
      <c r="BK16" s="22"/>
    </row>
    <row r="17" spans="2:63" x14ac:dyDescent="0.2">
      <c r="C17" s="23" t="s">
        <v>86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W17" s="294">
        <f>INDEX('Sales, COGS, Sales Team'!$AW$20:$BD$158,MATCH('3-Statement Model'!$C17,'Sales, COGS, Sales Team'!$C$20:$C$158,0),MATCH('3-Statement Model'!AW$11,'Sales, COGS, Sales Team'!$AW$11:$BD$11,0))</f>
        <v>15766.244723863638</v>
      </c>
      <c r="AX17" s="294">
        <f>INDEX('Sales, COGS, Sales Team'!$AW$20:$BD$158,MATCH('3-Statement Model'!$C17,'Sales, COGS, Sales Team'!$C$20:$C$158,0),MATCH('3-Statement Model'!AX$11,'Sales, COGS, Sales Team'!$AW$11:$BD$11,0))</f>
        <v>62054.797785545452</v>
      </c>
      <c r="AY17" s="294">
        <f>INDEX('Sales, COGS, Sales Team'!$AW$20:$BD$158,MATCH('3-Statement Model'!$C17,'Sales, COGS, Sales Team'!$C$20:$C$158,0),MATCH('3-Statement Model'!AY$11,'Sales, COGS, Sales Team'!$AW$11:$BD$11,0))</f>
        <v>73788.156009834551</v>
      </c>
      <c r="AZ17" s="294">
        <f>INDEX('Sales, COGS, Sales Team'!$AW$20:$BD$158,MATCH('3-Statement Model'!$C17,'Sales, COGS, Sales Team'!$C$20:$C$158,0),MATCH('3-Statement Model'!AZ$11,'Sales, COGS, Sales Team'!$AW$11:$BD$11,0))</f>
        <v>128412.85295454545</v>
      </c>
      <c r="BA17" s="294">
        <f>INDEX('Sales, COGS, Sales Team'!$AW$20:$BD$158,MATCH('3-Statement Model'!$C17,'Sales, COGS, Sales Team'!$C$20:$C$158,0),MATCH('3-Statement Model'!BA$11,'Sales, COGS, Sales Team'!$AW$11:$BD$11,0))</f>
        <v>251594.0711590909</v>
      </c>
      <c r="BB17" s="294">
        <f>INDEX('Sales, COGS, Sales Team'!$AW$20:$BD$158,MATCH('3-Statement Model'!$C17,'Sales, COGS, Sales Team'!$C$20:$C$158,0),MATCH('3-Statement Model'!BB$11,'Sales, COGS, Sales Team'!$AW$11:$BD$11,0))</f>
        <v>320061.90194181824</v>
      </c>
      <c r="BC17" s="294">
        <f>INDEX('Sales, COGS, Sales Team'!$AW$20:$BD$158,MATCH('3-Statement Model'!$C17,'Sales, COGS, Sales Team'!$C$20:$C$158,0),MATCH('3-Statement Model'!BC$11,'Sales, COGS, Sales Team'!$AW$11:$BD$11,0))</f>
        <v>378896.29561652726</v>
      </c>
      <c r="BD17" s="294">
        <f>INDEX('Sales, COGS, Sales Team'!$AW$20:$BD$158,MATCH('3-Statement Model'!$C17,'Sales, COGS, Sales Team'!$C$20:$C$158,0),MATCH('3-Statement Model'!BD$11,'Sales, COGS, Sales Team'!$AW$11:$BD$11,0))</f>
        <v>437554.90636363637</v>
      </c>
      <c r="BF17" s="24">
        <f>SUMIFS($AW17:$BD17,$AW$11:$BD$11,"&gt;"&amp;BE$11,$AW$11:$BD$11,"&lt;="&amp;BF$11)</f>
        <v>280022.05147378909</v>
      </c>
      <c r="BG17" s="24">
        <f>SUMIFS($AW17:$BD17,$AW$11:$BD$11,"&gt;"&amp;BF$11,$AW$11:$BD$11,"&lt;="&amp;BG$11)</f>
        <v>1388107.1750810728</v>
      </c>
      <c r="BH17" s="294">
        <f>INDEX('Sales, COGS, Sales Team'!$BH$20:$BJ$158,MATCH('3-Statement Model'!$C17,'Sales, COGS, Sales Team'!$C$20:$C$158,0),MATCH('3-Statement Model'!BH$11,'Sales, COGS, Sales Team'!$BH$11:$BJ$11,0))</f>
        <v>2663377.6909090909</v>
      </c>
      <c r="BI17" s="294">
        <f>INDEX('Sales, COGS, Sales Team'!$BH$20:$BJ$158,MATCH('3-Statement Model'!$C17,'Sales, COGS, Sales Team'!$C$20:$C$158,0),MATCH('3-Statement Model'!BI$11,'Sales, COGS, Sales Team'!$BH$11:$BJ$11,0))</f>
        <v>5516996.6454545455</v>
      </c>
      <c r="BJ17" s="294">
        <f>INDEX('Sales, COGS, Sales Team'!$BH$20:$BJ$158,MATCH('3-Statement Model'!$C17,'Sales, COGS, Sales Team'!$C$20:$C$158,0),MATCH('3-Statement Model'!BJ$11,'Sales, COGS, Sales Team'!$BH$11:$BJ$11,0))</f>
        <v>10729607.26909091</v>
      </c>
    </row>
    <row r="18" spans="2:63" x14ac:dyDescent="0.2">
      <c r="C18" s="26" t="s">
        <v>88</v>
      </c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W18" s="25">
        <f t="shared" ref="AW18:BD18" si="15">AW16-AW17</f>
        <v>44133.25527613637</v>
      </c>
      <c r="AX18" s="25">
        <f t="shared" si="15"/>
        <v>171456.05221445457</v>
      </c>
      <c r="AY18" s="25">
        <f t="shared" si="15"/>
        <v>207308.51324016548</v>
      </c>
      <c r="AZ18" s="25">
        <f t="shared" si="15"/>
        <v>365180.89704545459</v>
      </c>
      <c r="BA18" s="25">
        <f t="shared" si="15"/>
        <v>706230.92884090915</v>
      </c>
      <c r="BB18" s="25">
        <f t="shared" si="15"/>
        <v>905751.59805818205</v>
      </c>
      <c r="BC18" s="25">
        <f t="shared" si="15"/>
        <v>1073700.3968834728</v>
      </c>
      <c r="BD18" s="25">
        <f t="shared" si="15"/>
        <v>1241170.0936363637</v>
      </c>
      <c r="BF18" s="25">
        <f>BF16-BF17</f>
        <v>788078.71777621098</v>
      </c>
      <c r="BG18" s="25">
        <f>BG16-BG17</f>
        <v>3926853.017418928</v>
      </c>
      <c r="BH18" s="25">
        <f>BH16-BH17</f>
        <v>7514272.3090909086</v>
      </c>
      <c r="BI18" s="25">
        <f>BI16-BI17</f>
        <v>15534903.354545459</v>
      </c>
      <c r="BJ18" s="25">
        <f>BJ16-BJ17</f>
        <v>30106542.730909098</v>
      </c>
    </row>
    <row r="19" spans="2:63" x14ac:dyDescent="0.2">
      <c r="C19" s="22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W19" s="10"/>
      <c r="AX19" s="10"/>
      <c r="AY19" s="10"/>
      <c r="AZ19" s="10"/>
      <c r="BA19" s="10"/>
      <c r="BB19" s="10"/>
      <c r="BC19" s="10"/>
      <c r="BD19" s="10"/>
      <c r="BF19" s="10"/>
      <c r="BG19" s="10"/>
      <c r="BH19" s="10"/>
      <c r="BI19" s="10"/>
      <c r="BJ19" s="10"/>
    </row>
    <row r="20" spans="2:63" ht="15" x14ac:dyDescent="0.35">
      <c r="C20" s="22" t="s">
        <v>115</v>
      </c>
      <c r="D20" s="10"/>
      <c r="E20" s="10"/>
      <c r="F20" s="10"/>
      <c r="G20" s="69" t="s">
        <v>258</v>
      </c>
      <c r="H20" s="69" t="s">
        <v>119</v>
      </c>
      <c r="I20" s="69" t="s">
        <v>118</v>
      </c>
      <c r="J20" s="69" t="s">
        <v>117</v>
      </c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W20" s="10"/>
      <c r="AX20" s="10"/>
      <c r="AY20" s="10"/>
      <c r="AZ20" s="10"/>
      <c r="BA20" s="10"/>
      <c r="BB20" s="10"/>
      <c r="BC20" s="10"/>
      <c r="BD20" s="10"/>
      <c r="BF20" s="10"/>
      <c r="BG20" s="10"/>
      <c r="BH20" s="10"/>
      <c r="BI20" s="10"/>
      <c r="BJ20" s="10"/>
    </row>
    <row r="21" spans="2:63" ht="15" hidden="1" outlineLevel="1" x14ac:dyDescent="0.35">
      <c r="C21" s="77" t="s">
        <v>403</v>
      </c>
      <c r="E21" s="69"/>
      <c r="F21" s="69" t="s">
        <v>382</v>
      </c>
      <c r="G21" s="69" t="s">
        <v>30</v>
      </c>
      <c r="H21" s="69" t="s">
        <v>31</v>
      </c>
      <c r="I21" s="69" t="s">
        <v>72</v>
      </c>
      <c r="J21" s="30"/>
    </row>
    <row r="22" spans="2:63" hidden="1" outlineLevel="1" x14ac:dyDescent="0.2">
      <c r="B22" s="82"/>
      <c r="C22" s="81" t="s">
        <v>112</v>
      </c>
      <c r="D22" s="82"/>
      <c r="E22" s="82"/>
      <c r="F22" s="83">
        <f>G22*12</f>
        <v>120000</v>
      </c>
      <c r="G22" s="88">
        <v>10000</v>
      </c>
      <c r="H22" s="89">
        <v>45199</v>
      </c>
      <c r="I22" s="89">
        <v>47118</v>
      </c>
      <c r="J22" s="89"/>
      <c r="K22" s="82"/>
      <c r="L22" s="86">
        <f>IF(AND($H22&lt;='Sales, COGS, Sales Team'!L$13,$I22&gt;='Sales, COGS, Sales Team'!L$13),$G22,0)</f>
        <v>0</v>
      </c>
      <c r="M22" s="86">
        <f>IF(AND($H22&lt;='Sales, COGS, Sales Team'!M$13,$I22&gt;='Sales, COGS, Sales Team'!M$13),$G22,0)</f>
        <v>0</v>
      </c>
      <c r="N22" s="86">
        <f>IF(AND($H22&lt;='Sales, COGS, Sales Team'!N$13,$I22&gt;='Sales, COGS, Sales Team'!N$13),$G22,0)</f>
        <v>0</v>
      </c>
      <c r="O22" s="86">
        <f>IF(AND($H22&lt;='Sales, COGS, Sales Team'!O$13,$I22&gt;='Sales, COGS, Sales Team'!O$13),$G22,0)</f>
        <v>0</v>
      </c>
      <c r="P22" s="86">
        <f>IF(AND($H22&lt;='Sales, COGS, Sales Team'!P$13,$I22&gt;='Sales, COGS, Sales Team'!P$13),$G22,0)</f>
        <v>0</v>
      </c>
      <c r="Q22" s="86">
        <f>IF(AND($H22&lt;='Sales, COGS, Sales Team'!Q$13,$I22&gt;='Sales, COGS, Sales Team'!Q$13),$G22,0)</f>
        <v>0</v>
      </c>
      <c r="R22" s="86">
        <f>IF(AND($H22&lt;='Sales, COGS, Sales Team'!R$13,$I22&gt;='Sales, COGS, Sales Team'!R$13),$G22,0)</f>
        <v>0</v>
      </c>
      <c r="S22" s="86">
        <f>IF(AND($H22&lt;='Sales, COGS, Sales Team'!S$13,$I22&gt;='Sales, COGS, Sales Team'!S$13),$G22,0)</f>
        <v>0</v>
      </c>
      <c r="T22" s="86">
        <f>IF(AND($H22&lt;='Sales, COGS, Sales Team'!T$13,$I22&gt;='Sales, COGS, Sales Team'!T$13),$G22,0)</f>
        <v>10000</v>
      </c>
      <c r="U22" s="86">
        <f>IF(AND($H22&lt;='Sales, COGS, Sales Team'!U$13,$I22&gt;='Sales, COGS, Sales Team'!U$13),$G22,0)</f>
        <v>10000</v>
      </c>
      <c r="V22" s="86">
        <f>IF(AND($H22&lt;='Sales, COGS, Sales Team'!V$13,$I22&gt;='Sales, COGS, Sales Team'!V$13),$G22,0)</f>
        <v>10000</v>
      </c>
      <c r="W22" s="86">
        <f>IF(AND($H22&lt;='Sales, COGS, Sales Team'!W$13,$I22&gt;='Sales, COGS, Sales Team'!W$13),$G22,0)</f>
        <v>10000</v>
      </c>
      <c r="X22" s="86">
        <f>IF(AND($H22&lt;='Sales, COGS, Sales Team'!X$13,$I22&gt;='Sales, COGS, Sales Team'!X$13),$G22,0)</f>
        <v>10000</v>
      </c>
      <c r="Y22" s="86">
        <f>IF(AND($H22&lt;='Sales, COGS, Sales Team'!Y$13,$I22&gt;='Sales, COGS, Sales Team'!Y$13),$G22,0)</f>
        <v>10000</v>
      </c>
      <c r="Z22" s="86">
        <f>IF(AND($H22&lt;='Sales, COGS, Sales Team'!Z$13,$I22&gt;='Sales, COGS, Sales Team'!Z$13),$G22,0)</f>
        <v>10000</v>
      </c>
      <c r="AA22" s="86">
        <f>IF(AND($H22&lt;='Sales, COGS, Sales Team'!AA$13,$I22&gt;='Sales, COGS, Sales Team'!AA$13),$G22,0)</f>
        <v>10000</v>
      </c>
      <c r="AB22" s="86">
        <f>IF(AND($H22&lt;='Sales, COGS, Sales Team'!AB$13,$I22&gt;='Sales, COGS, Sales Team'!AB$13),$G22,0)</f>
        <v>10000</v>
      </c>
      <c r="AC22" s="86">
        <f>IF(AND($H22&lt;='Sales, COGS, Sales Team'!AC$13,$I22&gt;='Sales, COGS, Sales Team'!AC$13),$G22,0)</f>
        <v>10000</v>
      </c>
      <c r="AD22" s="86">
        <f>IF(AND($H22&lt;='Sales, COGS, Sales Team'!AD$13,$I22&gt;='Sales, COGS, Sales Team'!AD$13),$G22,0)</f>
        <v>10000</v>
      </c>
      <c r="AE22" s="86">
        <f>IF(AND($H22&lt;='Sales, COGS, Sales Team'!AE$13,$I22&gt;='Sales, COGS, Sales Team'!AE$13),$G22,0)</f>
        <v>10000</v>
      </c>
      <c r="AF22" s="86">
        <f>IF(AND($H22&lt;='Sales, COGS, Sales Team'!AF$13,$I22&gt;='Sales, COGS, Sales Team'!AF$13),$G22,0)</f>
        <v>10000</v>
      </c>
      <c r="AG22" s="86">
        <f>IF(AND($H22&lt;='Sales, COGS, Sales Team'!AG$13,$I22&gt;='Sales, COGS, Sales Team'!AG$13),$G22,0)</f>
        <v>10000</v>
      </c>
      <c r="AH22" s="86">
        <f>IF(AND($H22&lt;='Sales, COGS, Sales Team'!AH$13,$I22&gt;='Sales, COGS, Sales Team'!AH$13),$G22,0)</f>
        <v>10000</v>
      </c>
      <c r="AI22" s="86">
        <f>IF(AND($H22&lt;='Sales, COGS, Sales Team'!AI$13,$I22&gt;='Sales, COGS, Sales Team'!AI$13),$G22,0)</f>
        <v>10000</v>
      </c>
      <c r="AJ22" s="86">
        <f>IF(AND($H22&lt;='Sales, COGS, Sales Team'!AJ$13,$I22&gt;='Sales, COGS, Sales Team'!AJ$13),$G22,0)</f>
        <v>10000</v>
      </c>
      <c r="AK22" s="86">
        <f>IF(AND($H22&lt;='Sales, COGS, Sales Team'!AK$13,$I22&gt;='Sales, COGS, Sales Team'!AK$13),$G22,0)</f>
        <v>10000</v>
      </c>
      <c r="AL22" s="86">
        <f>IF(AND($H22&lt;='Sales, COGS, Sales Team'!AL$13,$I22&gt;='Sales, COGS, Sales Team'!AL$13),$G22,0)</f>
        <v>10000</v>
      </c>
      <c r="AM22" s="86">
        <f>IF(AND($H22&lt;='Sales, COGS, Sales Team'!AM$13,$I22&gt;='Sales, COGS, Sales Team'!AM$13),$G22,0)</f>
        <v>10000</v>
      </c>
      <c r="AN22" s="86">
        <f>IF(AND($H22&lt;='Sales, COGS, Sales Team'!AN$13,$I22&gt;='Sales, COGS, Sales Team'!AN$13),$G22,0)</f>
        <v>10000</v>
      </c>
      <c r="AO22" s="86">
        <f>IF(AND($H22&lt;='Sales, COGS, Sales Team'!AO$13,$I22&gt;='Sales, COGS, Sales Team'!AO$13),$G22,0)</f>
        <v>10000</v>
      </c>
      <c r="AP22" s="86">
        <f>IF(AND($H22&lt;='Sales, COGS, Sales Team'!AP$13,$I22&gt;='Sales, COGS, Sales Team'!AP$13),$G22,0)</f>
        <v>10000</v>
      </c>
      <c r="AQ22" s="86">
        <f>IF(AND($H22&lt;='Sales, COGS, Sales Team'!AQ$13,$I22&gt;='Sales, COGS, Sales Team'!AQ$13),$G22,0)</f>
        <v>10000</v>
      </c>
      <c r="AR22" s="86">
        <f>IF(AND($H22&lt;='Sales, COGS, Sales Team'!AR$13,$I22&gt;='Sales, COGS, Sales Team'!AR$13),$G22,0)</f>
        <v>10000</v>
      </c>
      <c r="AS22" s="86">
        <f>IF(AND($H22&lt;='Sales, COGS, Sales Team'!AS$13,$I22&gt;='Sales, COGS, Sales Team'!AS$13),$G22,0)</f>
        <v>10000</v>
      </c>
      <c r="AT22" s="86">
        <f>IF(AND($H22&lt;='Sales, COGS, Sales Team'!AT$13,$I22&gt;='Sales, COGS, Sales Team'!AT$13),$G22,0)</f>
        <v>10000</v>
      </c>
      <c r="AU22" s="86">
        <f>IF(AND($H22&lt;='Sales, COGS, Sales Team'!AU$13,$I22&gt;='Sales, COGS, Sales Team'!AU$13),$G22,0)</f>
        <v>10000</v>
      </c>
      <c r="AV22" s="82"/>
      <c r="AW22" s="86">
        <f t="shared" ref="AW22:BD22" si="16">SUMIFS($L22:$AU22,$L$11:$AU$11,"&gt;"&amp;AV$11,$L$11:$AU$11,"&lt;="&amp;AW$11)</f>
        <v>30000</v>
      </c>
      <c r="AX22" s="86">
        <f t="shared" si="16"/>
        <v>30000</v>
      </c>
      <c r="AY22" s="86">
        <f t="shared" si="16"/>
        <v>30000</v>
      </c>
      <c r="AZ22" s="86">
        <f t="shared" si="16"/>
        <v>30000</v>
      </c>
      <c r="BA22" s="86">
        <f t="shared" si="16"/>
        <v>30000</v>
      </c>
      <c r="BB22" s="86">
        <f t="shared" si="16"/>
        <v>30000</v>
      </c>
      <c r="BC22" s="86">
        <f t="shared" si="16"/>
        <v>30000</v>
      </c>
      <c r="BD22" s="86">
        <f t="shared" si="16"/>
        <v>30000</v>
      </c>
      <c r="BE22" s="82"/>
      <c r="BF22" s="86">
        <f t="shared" ref="BF22:BG22" si="17">SUMIFS($AW22:$BD22,$AW$11:$BD$11,"&gt;"&amp;BE$11,$AW$11:$BD$11,"&lt;="&amp;BF$11)</f>
        <v>120000</v>
      </c>
      <c r="BG22" s="86">
        <f t="shared" si="17"/>
        <v>120000</v>
      </c>
      <c r="BH22" s="86"/>
      <c r="BI22" s="86"/>
      <c r="BJ22" s="86"/>
      <c r="BK22" s="82"/>
    </row>
    <row r="23" spans="2:63" hidden="1" outlineLevel="1" x14ac:dyDescent="0.2">
      <c r="B23" s="82"/>
      <c r="C23" s="81" t="s">
        <v>113</v>
      </c>
      <c r="D23" s="82"/>
      <c r="E23" s="82"/>
      <c r="F23" s="83">
        <f>G23*12</f>
        <v>120000</v>
      </c>
      <c r="G23" s="88">
        <v>10000</v>
      </c>
      <c r="H23" s="89">
        <v>45199</v>
      </c>
      <c r="I23" s="89">
        <v>47118</v>
      </c>
      <c r="J23" s="89"/>
      <c r="K23" s="82"/>
      <c r="L23" s="86">
        <f>IF(AND($H23&lt;='Sales, COGS, Sales Team'!L$13,$I23&gt;='Sales, COGS, Sales Team'!L$13),$G23,0)</f>
        <v>0</v>
      </c>
      <c r="M23" s="86">
        <f>IF(AND($H23&lt;='Sales, COGS, Sales Team'!M$13,$I23&gt;='Sales, COGS, Sales Team'!M$13),$G23,0)</f>
        <v>0</v>
      </c>
      <c r="N23" s="86">
        <f>IF(AND($H23&lt;='Sales, COGS, Sales Team'!N$13,$I23&gt;='Sales, COGS, Sales Team'!N$13),$G23,0)</f>
        <v>0</v>
      </c>
      <c r="O23" s="86">
        <f>IF(AND($H23&lt;='Sales, COGS, Sales Team'!O$13,$I23&gt;='Sales, COGS, Sales Team'!O$13),$G23,0)</f>
        <v>0</v>
      </c>
      <c r="P23" s="86">
        <f>IF(AND($H23&lt;='Sales, COGS, Sales Team'!P$13,$I23&gt;='Sales, COGS, Sales Team'!P$13),$G23,0)</f>
        <v>0</v>
      </c>
      <c r="Q23" s="86">
        <f>IF(AND($H23&lt;='Sales, COGS, Sales Team'!Q$13,$I23&gt;='Sales, COGS, Sales Team'!Q$13),$G23,0)</f>
        <v>0</v>
      </c>
      <c r="R23" s="86">
        <f>IF(AND($H23&lt;='Sales, COGS, Sales Team'!R$13,$I23&gt;='Sales, COGS, Sales Team'!R$13),$G23,0)</f>
        <v>0</v>
      </c>
      <c r="S23" s="86">
        <f>IF(AND($H23&lt;='Sales, COGS, Sales Team'!S$13,$I23&gt;='Sales, COGS, Sales Team'!S$13),$G23,0)</f>
        <v>0</v>
      </c>
      <c r="T23" s="86">
        <f>IF(AND($H23&lt;='Sales, COGS, Sales Team'!T$13,$I23&gt;='Sales, COGS, Sales Team'!T$13),$G23,0)</f>
        <v>10000</v>
      </c>
      <c r="U23" s="86">
        <f>IF(AND($H23&lt;='Sales, COGS, Sales Team'!U$13,$I23&gt;='Sales, COGS, Sales Team'!U$13),$G23,0)</f>
        <v>10000</v>
      </c>
      <c r="V23" s="86">
        <f>IF(AND($H23&lt;='Sales, COGS, Sales Team'!V$13,$I23&gt;='Sales, COGS, Sales Team'!V$13),$G23,0)</f>
        <v>10000</v>
      </c>
      <c r="W23" s="86">
        <f>IF(AND($H23&lt;='Sales, COGS, Sales Team'!W$13,$I23&gt;='Sales, COGS, Sales Team'!W$13),$G23,0)</f>
        <v>10000</v>
      </c>
      <c r="X23" s="86">
        <f>IF(AND($H23&lt;='Sales, COGS, Sales Team'!X$13,$I23&gt;='Sales, COGS, Sales Team'!X$13),$G23,0)</f>
        <v>10000</v>
      </c>
      <c r="Y23" s="86">
        <f>IF(AND($H23&lt;='Sales, COGS, Sales Team'!Y$13,$I23&gt;='Sales, COGS, Sales Team'!Y$13),$G23,0)</f>
        <v>10000</v>
      </c>
      <c r="Z23" s="86">
        <f>IF(AND($H23&lt;='Sales, COGS, Sales Team'!Z$13,$I23&gt;='Sales, COGS, Sales Team'!Z$13),$G23,0)</f>
        <v>10000</v>
      </c>
      <c r="AA23" s="86">
        <f>IF(AND($H23&lt;='Sales, COGS, Sales Team'!AA$13,$I23&gt;='Sales, COGS, Sales Team'!AA$13),$G23,0)</f>
        <v>10000</v>
      </c>
      <c r="AB23" s="86">
        <f>IF(AND($H23&lt;='Sales, COGS, Sales Team'!AB$13,$I23&gt;='Sales, COGS, Sales Team'!AB$13),$G23,0)</f>
        <v>10000</v>
      </c>
      <c r="AC23" s="86">
        <f>IF(AND($H23&lt;='Sales, COGS, Sales Team'!AC$13,$I23&gt;='Sales, COGS, Sales Team'!AC$13),$G23,0)</f>
        <v>10000</v>
      </c>
      <c r="AD23" s="86">
        <f>IF(AND($H23&lt;='Sales, COGS, Sales Team'!AD$13,$I23&gt;='Sales, COGS, Sales Team'!AD$13),$G23,0)</f>
        <v>10000</v>
      </c>
      <c r="AE23" s="86">
        <f>IF(AND($H23&lt;='Sales, COGS, Sales Team'!AE$13,$I23&gt;='Sales, COGS, Sales Team'!AE$13),$G23,0)</f>
        <v>10000</v>
      </c>
      <c r="AF23" s="86">
        <f>IF(AND($H23&lt;='Sales, COGS, Sales Team'!AF$13,$I23&gt;='Sales, COGS, Sales Team'!AF$13),$G23,0)</f>
        <v>10000</v>
      </c>
      <c r="AG23" s="86">
        <f>IF(AND($H23&lt;='Sales, COGS, Sales Team'!AG$13,$I23&gt;='Sales, COGS, Sales Team'!AG$13),$G23,0)</f>
        <v>10000</v>
      </c>
      <c r="AH23" s="86">
        <f>IF(AND($H23&lt;='Sales, COGS, Sales Team'!AH$13,$I23&gt;='Sales, COGS, Sales Team'!AH$13),$G23,0)</f>
        <v>10000</v>
      </c>
      <c r="AI23" s="86">
        <f>IF(AND($H23&lt;='Sales, COGS, Sales Team'!AI$13,$I23&gt;='Sales, COGS, Sales Team'!AI$13),$G23,0)</f>
        <v>10000</v>
      </c>
      <c r="AJ23" s="86">
        <f>IF(AND($H23&lt;='Sales, COGS, Sales Team'!AJ$13,$I23&gt;='Sales, COGS, Sales Team'!AJ$13),$G23,0)</f>
        <v>10000</v>
      </c>
      <c r="AK23" s="86">
        <f>IF(AND($H23&lt;='Sales, COGS, Sales Team'!AK$13,$I23&gt;='Sales, COGS, Sales Team'!AK$13),$G23,0)</f>
        <v>10000</v>
      </c>
      <c r="AL23" s="86">
        <f>IF(AND($H23&lt;='Sales, COGS, Sales Team'!AL$13,$I23&gt;='Sales, COGS, Sales Team'!AL$13),$G23,0)</f>
        <v>10000</v>
      </c>
      <c r="AM23" s="86">
        <f>IF(AND($H23&lt;='Sales, COGS, Sales Team'!AM$13,$I23&gt;='Sales, COGS, Sales Team'!AM$13),$G23,0)</f>
        <v>10000</v>
      </c>
      <c r="AN23" s="86">
        <f>IF(AND($H23&lt;='Sales, COGS, Sales Team'!AN$13,$I23&gt;='Sales, COGS, Sales Team'!AN$13),$G23,0)</f>
        <v>10000</v>
      </c>
      <c r="AO23" s="86">
        <f>IF(AND($H23&lt;='Sales, COGS, Sales Team'!AO$13,$I23&gt;='Sales, COGS, Sales Team'!AO$13),$G23,0)</f>
        <v>10000</v>
      </c>
      <c r="AP23" s="86">
        <f>IF(AND($H23&lt;='Sales, COGS, Sales Team'!AP$13,$I23&gt;='Sales, COGS, Sales Team'!AP$13),$G23,0)</f>
        <v>10000</v>
      </c>
      <c r="AQ23" s="86">
        <f>IF(AND($H23&lt;='Sales, COGS, Sales Team'!AQ$13,$I23&gt;='Sales, COGS, Sales Team'!AQ$13),$G23,0)</f>
        <v>10000</v>
      </c>
      <c r="AR23" s="86">
        <f>IF(AND($H23&lt;='Sales, COGS, Sales Team'!AR$13,$I23&gt;='Sales, COGS, Sales Team'!AR$13),$G23,0)</f>
        <v>10000</v>
      </c>
      <c r="AS23" s="86">
        <f>IF(AND($H23&lt;='Sales, COGS, Sales Team'!AS$13,$I23&gt;='Sales, COGS, Sales Team'!AS$13),$G23,0)</f>
        <v>10000</v>
      </c>
      <c r="AT23" s="86">
        <f>IF(AND($H23&lt;='Sales, COGS, Sales Team'!AT$13,$I23&gt;='Sales, COGS, Sales Team'!AT$13),$G23,0)</f>
        <v>10000</v>
      </c>
      <c r="AU23" s="86">
        <f>IF(AND($H23&lt;='Sales, COGS, Sales Team'!AU$13,$I23&gt;='Sales, COGS, Sales Team'!AU$13),$G23,0)</f>
        <v>10000</v>
      </c>
      <c r="AV23" s="82"/>
      <c r="AW23" s="86">
        <f t="shared" ref="AW23:BD23" si="18">SUMIFS($L23:$AU23,$L$11:$AU$11,"&gt;"&amp;AV$11,$L$11:$AU$11,"&lt;="&amp;AW$11)</f>
        <v>30000</v>
      </c>
      <c r="AX23" s="86">
        <f t="shared" si="18"/>
        <v>30000</v>
      </c>
      <c r="AY23" s="86">
        <f t="shared" si="18"/>
        <v>30000</v>
      </c>
      <c r="AZ23" s="86">
        <f t="shared" si="18"/>
        <v>30000</v>
      </c>
      <c r="BA23" s="86">
        <f t="shared" si="18"/>
        <v>30000</v>
      </c>
      <c r="BB23" s="86">
        <f t="shared" si="18"/>
        <v>30000</v>
      </c>
      <c r="BC23" s="86">
        <f t="shared" si="18"/>
        <v>30000</v>
      </c>
      <c r="BD23" s="86">
        <f t="shared" si="18"/>
        <v>30000</v>
      </c>
      <c r="BE23" s="82"/>
      <c r="BF23" s="86">
        <f t="shared" ref="BF23:BG23" si="19">SUMIFS($AW23:$BD23,$AW$11:$BD$11,"&gt;"&amp;BE$11,$AW$11:$BD$11,"&lt;="&amp;BF$11)</f>
        <v>120000</v>
      </c>
      <c r="BG23" s="86">
        <f t="shared" si="19"/>
        <v>120000</v>
      </c>
      <c r="BH23" s="86"/>
      <c r="BI23" s="86"/>
      <c r="BJ23" s="86"/>
      <c r="BK23" s="82"/>
    </row>
    <row r="24" spans="2:63" hidden="1" outlineLevel="1" x14ac:dyDescent="0.2">
      <c r="B24" s="82"/>
      <c r="C24" s="81" t="s">
        <v>54</v>
      </c>
      <c r="D24" s="82"/>
      <c r="E24" s="82"/>
      <c r="F24" s="83">
        <f>G24*12</f>
        <v>120000</v>
      </c>
      <c r="G24" s="88">
        <v>10000</v>
      </c>
      <c r="H24" s="89">
        <v>45199</v>
      </c>
      <c r="I24" s="89">
        <v>47118</v>
      </c>
      <c r="J24" s="89"/>
      <c r="K24" s="82"/>
      <c r="L24" s="86">
        <f>IF(AND($H24&lt;='Sales, COGS, Sales Team'!L$13,$I24&gt;='Sales, COGS, Sales Team'!L$13),$G24,0)</f>
        <v>0</v>
      </c>
      <c r="M24" s="86">
        <f>IF(AND($H24&lt;='Sales, COGS, Sales Team'!M$13,$I24&gt;='Sales, COGS, Sales Team'!M$13),$G24,0)</f>
        <v>0</v>
      </c>
      <c r="N24" s="86">
        <f>IF(AND($H24&lt;='Sales, COGS, Sales Team'!N$13,$I24&gt;='Sales, COGS, Sales Team'!N$13),$G24,0)</f>
        <v>0</v>
      </c>
      <c r="O24" s="86">
        <f>IF(AND($H24&lt;='Sales, COGS, Sales Team'!O$13,$I24&gt;='Sales, COGS, Sales Team'!O$13),$G24,0)</f>
        <v>0</v>
      </c>
      <c r="P24" s="86">
        <f>IF(AND($H24&lt;='Sales, COGS, Sales Team'!P$13,$I24&gt;='Sales, COGS, Sales Team'!P$13),$G24,0)</f>
        <v>0</v>
      </c>
      <c r="Q24" s="86">
        <f>IF(AND($H24&lt;='Sales, COGS, Sales Team'!Q$13,$I24&gt;='Sales, COGS, Sales Team'!Q$13),$G24,0)</f>
        <v>0</v>
      </c>
      <c r="R24" s="86">
        <f>IF(AND($H24&lt;='Sales, COGS, Sales Team'!R$13,$I24&gt;='Sales, COGS, Sales Team'!R$13),$G24,0)</f>
        <v>0</v>
      </c>
      <c r="S24" s="86">
        <f>IF(AND($H24&lt;='Sales, COGS, Sales Team'!S$13,$I24&gt;='Sales, COGS, Sales Team'!S$13),$G24,0)</f>
        <v>0</v>
      </c>
      <c r="T24" s="86">
        <f>IF(AND($H24&lt;='Sales, COGS, Sales Team'!T$13,$I24&gt;='Sales, COGS, Sales Team'!T$13),$G24,0)</f>
        <v>10000</v>
      </c>
      <c r="U24" s="86">
        <f>IF(AND($H24&lt;='Sales, COGS, Sales Team'!U$13,$I24&gt;='Sales, COGS, Sales Team'!U$13),$G24,0)</f>
        <v>10000</v>
      </c>
      <c r="V24" s="86">
        <f>IF(AND($H24&lt;='Sales, COGS, Sales Team'!V$13,$I24&gt;='Sales, COGS, Sales Team'!V$13),$G24,0)</f>
        <v>10000</v>
      </c>
      <c r="W24" s="86">
        <f>IF(AND($H24&lt;='Sales, COGS, Sales Team'!W$13,$I24&gt;='Sales, COGS, Sales Team'!W$13),$G24,0)</f>
        <v>10000</v>
      </c>
      <c r="X24" s="86">
        <f>IF(AND($H24&lt;='Sales, COGS, Sales Team'!X$13,$I24&gt;='Sales, COGS, Sales Team'!X$13),$G24,0)</f>
        <v>10000</v>
      </c>
      <c r="Y24" s="86">
        <f>IF(AND($H24&lt;='Sales, COGS, Sales Team'!Y$13,$I24&gt;='Sales, COGS, Sales Team'!Y$13),$G24,0)</f>
        <v>10000</v>
      </c>
      <c r="Z24" s="86">
        <f>IF(AND($H24&lt;='Sales, COGS, Sales Team'!Z$13,$I24&gt;='Sales, COGS, Sales Team'!Z$13),$G24,0)</f>
        <v>10000</v>
      </c>
      <c r="AA24" s="86">
        <f>IF(AND($H24&lt;='Sales, COGS, Sales Team'!AA$13,$I24&gt;='Sales, COGS, Sales Team'!AA$13),$G24,0)</f>
        <v>10000</v>
      </c>
      <c r="AB24" s="86">
        <f>IF(AND($H24&lt;='Sales, COGS, Sales Team'!AB$13,$I24&gt;='Sales, COGS, Sales Team'!AB$13),$G24,0)</f>
        <v>10000</v>
      </c>
      <c r="AC24" s="86">
        <f>IF(AND($H24&lt;='Sales, COGS, Sales Team'!AC$13,$I24&gt;='Sales, COGS, Sales Team'!AC$13),$G24,0)</f>
        <v>10000</v>
      </c>
      <c r="AD24" s="86">
        <f>IF(AND($H24&lt;='Sales, COGS, Sales Team'!AD$13,$I24&gt;='Sales, COGS, Sales Team'!AD$13),$G24,0)</f>
        <v>10000</v>
      </c>
      <c r="AE24" s="86">
        <f>IF(AND($H24&lt;='Sales, COGS, Sales Team'!AE$13,$I24&gt;='Sales, COGS, Sales Team'!AE$13),$G24,0)</f>
        <v>10000</v>
      </c>
      <c r="AF24" s="86">
        <f>IF(AND($H24&lt;='Sales, COGS, Sales Team'!AF$13,$I24&gt;='Sales, COGS, Sales Team'!AF$13),$G24,0)</f>
        <v>10000</v>
      </c>
      <c r="AG24" s="86">
        <f>IF(AND($H24&lt;='Sales, COGS, Sales Team'!AG$13,$I24&gt;='Sales, COGS, Sales Team'!AG$13),$G24,0)</f>
        <v>10000</v>
      </c>
      <c r="AH24" s="86">
        <f>IF(AND($H24&lt;='Sales, COGS, Sales Team'!AH$13,$I24&gt;='Sales, COGS, Sales Team'!AH$13),$G24,0)</f>
        <v>10000</v>
      </c>
      <c r="AI24" s="86">
        <f>IF(AND($H24&lt;='Sales, COGS, Sales Team'!AI$13,$I24&gt;='Sales, COGS, Sales Team'!AI$13),$G24,0)</f>
        <v>10000</v>
      </c>
      <c r="AJ24" s="86">
        <f>IF(AND($H24&lt;='Sales, COGS, Sales Team'!AJ$13,$I24&gt;='Sales, COGS, Sales Team'!AJ$13),$G24,0)</f>
        <v>10000</v>
      </c>
      <c r="AK24" s="86">
        <f>IF(AND($H24&lt;='Sales, COGS, Sales Team'!AK$13,$I24&gt;='Sales, COGS, Sales Team'!AK$13),$G24,0)</f>
        <v>10000</v>
      </c>
      <c r="AL24" s="86">
        <f>IF(AND($H24&lt;='Sales, COGS, Sales Team'!AL$13,$I24&gt;='Sales, COGS, Sales Team'!AL$13),$G24,0)</f>
        <v>10000</v>
      </c>
      <c r="AM24" s="86">
        <f>IF(AND($H24&lt;='Sales, COGS, Sales Team'!AM$13,$I24&gt;='Sales, COGS, Sales Team'!AM$13),$G24,0)</f>
        <v>10000</v>
      </c>
      <c r="AN24" s="86">
        <f>IF(AND($H24&lt;='Sales, COGS, Sales Team'!AN$13,$I24&gt;='Sales, COGS, Sales Team'!AN$13),$G24,0)</f>
        <v>10000</v>
      </c>
      <c r="AO24" s="86">
        <f>IF(AND($H24&lt;='Sales, COGS, Sales Team'!AO$13,$I24&gt;='Sales, COGS, Sales Team'!AO$13),$G24,0)</f>
        <v>10000</v>
      </c>
      <c r="AP24" s="86">
        <f>IF(AND($H24&lt;='Sales, COGS, Sales Team'!AP$13,$I24&gt;='Sales, COGS, Sales Team'!AP$13),$G24,0)</f>
        <v>10000</v>
      </c>
      <c r="AQ24" s="86">
        <f>IF(AND($H24&lt;='Sales, COGS, Sales Team'!AQ$13,$I24&gt;='Sales, COGS, Sales Team'!AQ$13),$G24,0)</f>
        <v>10000</v>
      </c>
      <c r="AR24" s="86">
        <f>IF(AND($H24&lt;='Sales, COGS, Sales Team'!AR$13,$I24&gt;='Sales, COGS, Sales Team'!AR$13),$G24,0)</f>
        <v>10000</v>
      </c>
      <c r="AS24" s="86">
        <f>IF(AND($H24&lt;='Sales, COGS, Sales Team'!AS$13,$I24&gt;='Sales, COGS, Sales Team'!AS$13),$G24,0)</f>
        <v>10000</v>
      </c>
      <c r="AT24" s="86">
        <f>IF(AND($H24&lt;='Sales, COGS, Sales Team'!AT$13,$I24&gt;='Sales, COGS, Sales Team'!AT$13),$G24,0)</f>
        <v>10000</v>
      </c>
      <c r="AU24" s="86">
        <f>IF(AND($H24&lt;='Sales, COGS, Sales Team'!AU$13,$I24&gt;='Sales, COGS, Sales Team'!AU$13),$G24,0)</f>
        <v>10000</v>
      </c>
      <c r="AV24" s="82"/>
      <c r="AW24" s="86">
        <f t="shared" ref="AW24:BD24" si="20">SUMIFS($L24:$AU24,$L$11:$AU$11,"&gt;"&amp;AV$11,$L$11:$AU$11,"&lt;="&amp;AW$11)</f>
        <v>30000</v>
      </c>
      <c r="AX24" s="86">
        <f t="shared" si="20"/>
        <v>30000</v>
      </c>
      <c r="AY24" s="86">
        <f t="shared" si="20"/>
        <v>30000</v>
      </c>
      <c r="AZ24" s="86">
        <f t="shared" si="20"/>
        <v>30000</v>
      </c>
      <c r="BA24" s="86">
        <f t="shared" si="20"/>
        <v>30000</v>
      </c>
      <c r="BB24" s="86">
        <f t="shared" si="20"/>
        <v>30000</v>
      </c>
      <c r="BC24" s="86">
        <f t="shared" si="20"/>
        <v>30000</v>
      </c>
      <c r="BD24" s="86">
        <f t="shared" si="20"/>
        <v>30000</v>
      </c>
      <c r="BE24" s="82"/>
      <c r="BF24" s="86">
        <f t="shared" ref="BF24:BG24" si="21">SUMIFS($AW24:$BD24,$AW$11:$BD$11,"&gt;"&amp;BE$11,$AW$11:$BD$11,"&lt;="&amp;BF$11)</f>
        <v>120000</v>
      </c>
      <c r="BG24" s="86">
        <f t="shared" si="21"/>
        <v>120000</v>
      </c>
      <c r="BH24" s="86"/>
      <c r="BI24" s="86"/>
      <c r="BJ24" s="86"/>
      <c r="BK24" s="82"/>
    </row>
    <row r="25" spans="2:63" hidden="1" outlineLevel="1" x14ac:dyDescent="0.2">
      <c r="B25" s="82"/>
      <c r="C25" s="81" t="s">
        <v>32</v>
      </c>
      <c r="D25" s="82"/>
      <c r="E25" s="82"/>
      <c r="F25" s="88">
        <v>65000</v>
      </c>
      <c r="G25" s="83">
        <f>F25/12</f>
        <v>5416.666666666667</v>
      </c>
      <c r="H25" s="89">
        <v>45658</v>
      </c>
      <c r="I25" s="89">
        <v>47118</v>
      </c>
      <c r="J25" s="85"/>
      <c r="K25" s="82"/>
      <c r="L25" s="86">
        <f>IF(AND($H25&lt;='Sales, COGS, Sales Team'!L$13,$I25&gt;='Sales, COGS, Sales Team'!L$13),$G25,0)</f>
        <v>0</v>
      </c>
      <c r="M25" s="86">
        <f>IF(AND($H25&lt;='Sales, COGS, Sales Team'!M$13,$I25&gt;='Sales, COGS, Sales Team'!M$13),$G25,0)</f>
        <v>0</v>
      </c>
      <c r="N25" s="86">
        <f>IF(AND($H25&lt;='Sales, COGS, Sales Team'!N$13,$I25&gt;='Sales, COGS, Sales Team'!N$13),$G25,0)</f>
        <v>0</v>
      </c>
      <c r="O25" s="86">
        <f>IF(AND($H25&lt;='Sales, COGS, Sales Team'!O$13,$I25&gt;='Sales, COGS, Sales Team'!O$13),$G25,0)</f>
        <v>0</v>
      </c>
      <c r="P25" s="86">
        <f>IF(AND($H25&lt;='Sales, COGS, Sales Team'!P$13,$I25&gt;='Sales, COGS, Sales Team'!P$13),$G25,0)</f>
        <v>0</v>
      </c>
      <c r="Q25" s="86">
        <f>IF(AND($H25&lt;='Sales, COGS, Sales Team'!Q$13,$I25&gt;='Sales, COGS, Sales Team'!Q$13),$G25,0)</f>
        <v>0</v>
      </c>
      <c r="R25" s="86">
        <f>IF(AND($H25&lt;='Sales, COGS, Sales Team'!R$13,$I25&gt;='Sales, COGS, Sales Team'!R$13),$G25,0)</f>
        <v>0</v>
      </c>
      <c r="S25" s="86">
        <f>IF(AND($H25&lt;='Sales, COGS, Sales Team'!S$13,$I25&gt;='Sales, COGS, Sales Team'!S$13),$G25,0)</f>
        <v>0</v>
      </c>
      <c r="T25" s="86">
        <f>IF(AND($H25&lt;='Sales, COGS, Sales Team'!T$13,$I25&gt;='Sales, COGS, Sales Team'!T$13),$G25,0)</f>
        <v>0</v>
      </c>
      <c r="U25" s="86">
        <f>IF(AND($H25&lt;='Sales, COGS, Sales Team'!U$13,$I25&gt;='Sales, COGS, Sales Team'!U$13),$G25,0)</f>
        <v>0</v>
      </c>
      <c r="V25" s="86">
        <f>IF(AND($H25&lt;='Sales, COGS, Sales Team'!V$13,$I25&gt;='Sales, COGS, Sales Team'!V$13),$G25,0)</f>
        <v>0</v>
      </c>
      <c r="W25" s="86">
        <f>IF(AND($H25&lt;='Sales, COGS, Sales Team'!W$13,$I25&gt;='Sales, COGS, Sales Team'!W$13),$G25,0)</f>
        <v>0</v>
      </c>
      <c r="X25" s="86">
        <f>IF(AND($H25&lt;='Sales, COGS, Sales Team'!X$13,$I25&gt;='Sales, COGS, Sales Team'!X$13),$G25,0)</f>
        <v>0</v>
      </c>
      <c r="Y25" s="86">
        <f>IF(AND($H25&lt;='Sales, COGS, Sales Team'!Y$13,$I25&gt;='Sales, COGS, Sales Team'!Y$13),$G25,0)</f>
        <v>0</v>
      </c>
      <c r="Z25" s="86">
        <f>IF(AND($H25&lt;='Sales, COGS, Sales Team'!Z$13,$I25&gt;='Sales, COGS, Sales Team'!Z$13),$G25,0)</f>
        <v>0</v>
      </c>
      <c r="AA25" s="86">
        <f>IF(AND($H25&lt;='Sales, COGS, Sales Team'!AA$13,$I25&gt;='Sales, COGS, Sales Team'!AA$13),$G25,0)</f>
        <v>0</v>
      </c>
      <c r="AB25" s="86">
        <f>IF(AND($H25&lt;='Sales, COGS, Sales Team'!AB$13,$I25&gt;='Sales, COGS, Sales Team'!AB$13),$G25,0)</f>
        <v>0</v>
      </c>
      <c r="AC25" s="86">
        <f>IF(AND($H25&lt;='Sales, COGS, Sales Team'!AC$13,$I25&gt;='Sales, COGS, Sales Team'!AC$13),$G25,0)</f>
        <v>0</v>
      </c>
      <c r="AD25" s="86">
        <f>IF(AND($H25&lt;='Sales, COGS, Sales Team'!AD$13,$I25&gt;='Sales, COGS, Sales Team'!AD$13),$G25,0)</f>
        <v>0</v>
      </c>
      <c r="AE25" s="86">
        <f>IF(AND($H25&lt;='Sales, COGS, Sales Team'!AE$13,$I25&gt;='Sales, COGS, Sales Team'!AE$13),$G25,0)</f>
        <v>0</v>
      </c>
      <c r="AF25" s="86">
        <f>IF(AND($H25&lt;='Sales, COGS, Sales Team'!AF$13,$I25&gt;='Sales, COGS, Sales Team'!AF$13),$G25,0)</f>
        <v>0</v>
      </c>
      <c r="AG25" s="86">
        <f>IF(AND($H25&lt;='Sales, COGS, Sales Team'!AG$13,$I25&gt;='Sales, COGS, Sales Team'!AG$13),$G25,0)</f>
        <v>0</v>
      </c>
      <c r="AH25" s="86">
        <f>IF(AND($H25&lt;='Sales, COGS, Sales Team'!AH$13,$I25&gt;='Sales, COGS, Sales Team'!AH$13),$G25,0)</f>
        <v>0</v>
      </c>
      <c r="AI25" s="86">
        <f>IF(AND($H25&lt;='Sales, COGS, Sales Team'!AI$13,$I25&gt;='Sales, COGS, Sales Team'!AI$13),$G25,0)</f>
        <v>0</v>
      </c>
      <c r="AJ25" s="86">
        <f>IF(AND($H25&lt;='Sales, COGS, Sales Team'!AJ$13,$I25&gt;='Sales, COGS, Sales Team'!AJ$13),$G25,0)</f>
        <v>5416.666666666667</v>
      </c>
      <c r="AK25" s="86">
        <f>IF(AND($H25&lt;='Sales, COGS, Sales Team'!AK$13,$I25&gt;='Sales, COGS, Sales Team'!AK$13),$G25,0)</f>
        <v>5416.666666666667</v>
      </c>
      <c r="AL25" s="86">
        <f>IF(AND($H25&lt;='Sales, COGS, Sales Team'!AL$13,$I25&gt;='Sales, COGS, Sales Team'!AL$13),$G25,0)</f>
        <v>5416.666666666667</v>
      </c>
      <c r="AM25" s="86">
        <f>IF(AND($H25&lt;='Sales, COGS, Sales Team'!AM$13,$I25&gt;='Sales, COGS, Sales Team'!AM$13),$G25,0)</f>
        <v>5416.666666666667</v>
      </c>
      <c r="AN25" s="86">
        <f>IF(AND($H25&lt;='Sales, COGS, Sales Team'!AN$13,$I25&gt;='Sales, COGS, Sales Team'!AN$13),$G25,0)</f>
        <v>5416.666666666667</v>
      </c>
      <c r="AO25" s="86">
        <f>IF(AND($H25&lt;='Sales, COGS, Sales Team'!AO$13,$I25&gt;='Sales, COGS, Sales Team'!AO$13),$G25,0)</f>
        <v>5416.666666666667</v>
      </c>
      <c r="AP25" s="86">
        <f>IF(AND($H25&lt;='Sales, COGS, Sales Team'!AP$13,$I25&gt;='Sales, COGS, Sales Team'!AP$13),$G25,0)</f>
        <v>5416.666666666667</v>
      </c>
      <c r="AQ25" s="86">
        <f>IF(AND($H25&lt;='Sales, COGS, Sales Team'!AQ$13,$I25&gt;='Sales, COGS, Sales Team'!AQ$13),$G25,0)</f>
        <v>5416.666666666667</v>
      </c>
      <c r="AR25" s="86">
        <f>IF(AND($H25&lt;='Sales, COGS, Sales Team'!AR$13,$I25&gt;='Sales, COGS, Sales Team'!AR$13),$G25,0)</f>
        <v>5416.666666666667</v>
      </c>
      <c r="AS25" s="86">
        <f>IF(AND($H25&lt;='Sales, COGS, Sales Team'!AS$13,$I25&gt;='Sales, COGS, Sales Team'!AS$13),$G25,0)</f>
        <v>5416.666666666667</v>
      </c>
      <c r="AT25" s="86">
        <f>IF(AND($H25&lt;='Sales, COGS, Sales Team'!AT$13,$I25&gt;='Sales, COGS, Sales Team'!AT$13),$G25,0)</f>
        <v>5416.666666666667</v>
      </c>
      <c r="AU25" s="86">
        <f>IF(AND($H25&lt;='Sales, COGS, Sales Team'!AU$13,$I25&gt;='Sales, COGS, Sales Team'!AU$13),$G25,0)</f>
        <v>5416.666666666667</v>
      </c>
      <c r="AV25" s="82"/>
      <c r="AW25" s="86">
        <f t="shared" ref="AW25:BD25" si="22">SUMIFS($L25:$AU25,$L$11:$AU$11,"&gt;"&amp;AV$11,$L$11:$AU$11,"&lt;="&amp;AW$11)</f>
        <v>0</v>
      </c>
      <c r="AX25" s="86">
        <f t="shared" si="22"/>
        <v>0</v>
      </c>
      <c r="AY25" s="86">
        <f t="shared" si="22"/>
        <v>0</v>
      </c>
      <c r="AZ25" s="86">
        <f t="shared" si="22"/>
        <v>0</v>
      </c>
      <c r="BA25" s="86">
        <f t="shared" si="22"/>
        <v>16250</v>
      </c>
      <c r="BB25" s="86">
        <f t="shared" si="22"/>
        <v>16250</v>
      </c>
      <c r="BC25" s="86">
        <f t="shared" si="22"/>
        <v>16250</v>
      </c>
      <c r="BD25" s="86">
        <f t="shared" si="22"/>
        <v>16250</v>
      </c>
      <c r="BE25" s="82"/>
      <c r="BF25" s="86">
        <f t="shared" ref="BF25:BG25" si="23">SUMIFS($AW25:$BD25,$AW$11:$BD$11,"&gt;"&amp;BE$11,$AW$11:$BD$11,"&lt;="&amp;BF$11)</f>
        <v>0</v>
      </c>
      <c r="BG25" s="86">
        <f t="shared" si="23"/>
        <v>65000</v>
      </c>
      <c r="BH25" s="86"/>
      <c r="BI25" s="86"/>
      <c r="BJ25" s="86"/>
      <c r="BK25" s="82"/>
    </row>
    <row r="26" spans="2:63" hidden="1" outlineLevel="1" x14ac:dyDescent="0.2">
      <c r="B26" s="82"/>
      <c r="C26" s="81" t="s">
        <v>33</v>
      </c>
      <c r="D26" s="82"/>
      <c r="E26" s="82"/>
      <c r="F26" s="88">
        <v>90000</v>
      </c>
      <c r="G26" s="83">
        <f>F26/12</f>
        <v>7500</v>
      </c>
      <c r="H26" s="89">
        <v>45658</v>
      </c>
      <c r="I26" s="89">
        <v>47118</v>
      </c>
      <c r="J26" s="85"/>
      <c r="K26" s="82"/>
      <c r="L26" s="86">
        <f>IF(AND($H26&lt;='Sales, COGS, Sales Team'!L$13,$I26&gt;='Sales, COGS, Sales Team'!L$13),$G26,0)</f>
        <v>0</v>
      </c>
      <c r="M26" s="86">
        <f>IF(AND($H26&lt;='Sales, COGS, Sales Team'!M$13,$I26&gt;='Sales, COGS, Sales Team'!M$13),$G26,0)</f>
        <v>0</v>
      </c>
      <c r="N26" s="86">
        <f>IF(AND($H26&lt;='Sales, COGS, Sales Team'!N$13,$I26&gt;='Sales, COGS, Sales Team'!N$13),$G26,0)</f>
        <v>0</v>
      </c>
      <c r="O26" s="86">
        <f>IF(AND($H26&lt;='Sales, COGS, Sales Team'!O$13,$I26&gt;='Sales, COGS, Sales Team'!O$13),$G26,0)</f>
        <v>0</v>
      </c>
      <c r="P26" s="86">
        <f>IF(AND($H26&lt;='Sales, COGS, Sales Team'!P$13,$I26&gt;='Sales, COGS, Sales Team'!P$13),$G26,0)</f>
        <v>0</v>
      </c>
      <c r="Q26" s="86">
        <f>IF(AND($H26&lt;='Sales, COGS, Sales Team'!Q$13,$I26&gt;='Sales, COGS, Sales Team'!Q$13),$G26,0)</f>
        <v>0</v>
      </c>
      <c r="R26" s="86">
        <f>IF(AND($H26&lt;='Sales, COGS, Sales Team'!R$13,$I26&gt;='Sales, COGS, Sales Team'!R$13),$G26,0)</f>
        <v>0</v>
      </c>
      <c r="S26" s="86">
        <f>IF(AND($H26&lt;='Sales, COGS, Sales Team'!S$13,$I26&gt;='Sales, COGS, Sales Team'!S$13),$G26,0)</f>
        <v>0</v>
      </c>
      <c r="T26" s="86">
        <f>IF(AND($H26&lt;='Sales, COGS, Sales Team'!T$13,$I26&gt;='Sales, COGS, Sales Team'!T$13),$G26,0)</f>
        <v>0</v>
      </c>
      <c r="U26" s="86">
        <f>IF(AND($H26&lt;='Sales, COGS, Sales Team'!U$13,$I26&gt;='Sales, COGS, Sales Team'!U$13),$G26,0)</f>
        <v>0</v>
      </c>
      <c r="V26" s="86">
        <f>IF(AND($H26&lt;='Sales, COGS, Sales Team'!V$13,$I26&gt;='Sales, COGS, Sales Team'!V$13),$G26,0)</f>
        <v>0</v>
      </c>
      <c r="W26" s="86">
        <f>IF(AND($H26&lt;='Sales, COGS, Sales Team'!W$13,$I26&gt;='Sales, COGS, Sales Team'!W$13),$G26,0)</f>
        <v>0</v>
      </c>
      <c r="X26" s="86">
        <f>IF(AND($H26&lt;='Sales, COGS, Sales Team'!X$13,$I26&gt;='Sales, COGS, Sales Team'!X$13),$G26,0)</f>
        <v>0</v>
      </c>
      <c r="Y26" s="86">
        <f>IF(AND($H26&lt;='Sales, COGS, Sales Team'!Y$13,$I26&gt;='Sales, COGS, Sales Team'!Y$13),$G26,0)</f>
        <v>0</v>
      </c>
      <c r="Z26" s="86">
        <f>IF(AND($H26&lt;='Sales, COGS, Sales Team'!Z$13,$I26&gt;='Sales, COGS, Sales Team'!Z$13),$G26,0)</f>
        <v>0</v>
      </c>
      <c r="AA26" s="86">
        <f>IF(AND($H26&lt;='Sales, COGS, Sales Team'!AA$13,$I26&gt;='Sales, COGS, Sales Team'!AA$13),$G26,0)</f>
        <v>0</v>
      </c>
      <c r="AB26" s="86">
        <f>IF(AND($H26&lt;='Sales, COGS, Sales Team'!AB$13,$I26&gt;='Sales, COGS, Sales Team'!AB$13),$G26,0)</f>
        <v>0</v>
      </c>
      <c r="AC26" s="86">
        <f>IF(AND($H26&lt;='Sales, COGS, Sales Team'!AC$13,$I26&gt;='Sales, COGS, Sales Team'!AC$13),$G26,0)</f>
        <v>0</v>
      </c>
      <c r="AD26" s="86">
        <f>IF(AND($H26&lt;='Sales, COGS, Sales Team'!AD$13,$I26&gt;='Sales, COGS, Sales Team'!AD$13),$G26,0)</f>
        <v>0</v>
      </c>
      <c r="AE26" s="86">
        <f>IF(AND($H26&lt;='Sales, COGS, Sales Team'!AE$13,$I26&gt;='Sales, COGS, Sales Team'!AE$13),$G26,0)</f>
        <v>0</v>
      </c>
      <c r="AF26" s="86">
        <f>IF(AND($H26&lt;='Sales, COGS, Sales Team'!AF$13,$I26&gt;='Sales, COGS, Sales Team'!AF$13),$G26,0)</f>
        <v>0</v>
      </c>
      <c r="AG26" s="86">
        <f>IF(AND($H26&lt;='Sales, COGS, Sales Team'!AG$13,$I26&gt;='Sales, COGS, Sales Team'!AG$13),$G26,0)</f>
        <v>0</v>
      </c>
      <c r="AH26" s="86">
        <f>IF(AND($H26&lt;='Sales, COGS, Sales Team'!AH$13,$I26&gt;='Sales, COGS, Sales Team'!AH$13),$G26,0)</f>
        <v>0</v>
      </c>
      <c r="AI26" s="86">
        <f>IF(AND($H26&lt;='Sales, COGS, Sales Team'!AI$13,$I26&gt;='Sales, COGS, Sales Team'!AI$13),$G26,0)</f>
        <v>0</v>
      </c>
      <c r="AJ26" s="86">
        <f>IF(AND($H26&lt;='Sales, COGS, Sales Team'!AJ$13,$I26&gt;='Sales, COGS, Sales Team'!AJ$13),$G26,0)</f>
        <v>7500</v>
      </c>
      <c r="AK26" s="86">
        <f>IF(AND($H26&lt;='Sales, COGS, Sales Team'!AK$13,$I26&gt;='Sales, COGS, Sales Team'!AK$13),$G26,0)</f>
        <v>7500</v>
      </c>
      <c r="AL26" s="86">
        <f>IF(AND($H26&lt;='Sales, COGS, Sales Team'!AL$13,$I26&gt;='Sales, COGS, Sales Team'!AL$13),$G26,0)</f>
        <v>7500</v>
      </c>
      <c r="AM26" s="86">
        <f>IF(AND($H26&lt;='Sales, COGS, Sales Team'!AM$13,$I26&gt;='Sales, COGS, Sales Team'!AM$13),$G26,0)</f>
        <v>7500</v>
      </c>
      <c r="AN26" s="86">
        <f>IF(AND($H26&lt;='Sales, COGS, Sales Team'!AN$13,$I26&gt;='Sales, COGS, Sales Team'!AN$13),$G26,0)</f>
        <v>7500</v>
      </c>
      <c r="AO26" s="86">
        <f>IF(AND($H26&lt;='Sales, COGS, Sales Team'!AO$13,$I26&gt;='Sales, COGS, Sales Team'!AO$13),$G26,0)</f>
        <v>7500</v>
      </c>
      <c r="AP26" s="86">
        <f>IF(AND($H26&lt;='Sales, COGS, Sales Team'!AP$13,$I26&gt;='Sales, COGS, Sales Team'!AP$13),$G26,0)</f>
        <v>7500</v>
      </c>
      <c r="AQ26" s="86">
        <f>IF(AND($H26&lt;='Sales, COGS, Sales Team'!AQ$13,$I26&gt;='Sales, COGS, Sales Team'!AQ$13),$G26,0)</f>
        <v>7500</v>
      </c>
      <c r="AR26" s="86">
        <f>IF(AND($H26&lt;='Sales, COGS, Sales Team'!AR$13,$I26&gt;='Sales, COGS, Sales Team'!AR$13),$G26,0)</f>
        <v>7500</v>
      </c>
      <c r="AS26" s="86">
        <f>IF(AND($H26&lt;='Sales, COGS, Sales Team'!AS$13,$I26&gt;='Sales, COGS, Sales Team'!AS$13),$G26,0)</f>
        <v>7500</v>
      </c>
      <c r="AT26" s="86">
        <f>IF(AND($H26&lt;='Sales, COGS, Sales Team'!AT$13,$I26&gt;='Sales, COGS, Sales Team'!AT$13),$G26,0)</f>
        <v>7500</v>
      </c>
      <c r="AU26" s="86">
        <f>IF(AND($H26&lt;='Sales, COGS, Sales Team'!AU$13,$I26&gt;='Sales, COGS, Sales Team'!AU$13),$G26,0)</f>
        <v>7500</v>
      </c>
      <c r="AV26" s="82"/>
      <c r="AW26" s="86">
        <f t="shared" ref="AW26:BD26" si="24">SUMIFS($L26:$AU26,$L$11:$AU$11,"&gt;"&amp;AV$11,$L$11:$AU$11,"&lt;="&amp;AW$11)</f>
        <v>0</v>
      </c>
      <c r="AX26" s="86">
        <f t="shared" si="24"/>
        <v>0</v>
      </c>
      <c r="AY26" s="86">
        <f t="shared" si="24"/>
        <v>0</v>
      </c>
      <c r="AZ26" s="86">
        <f t="shared" si="24"/>
        <v>0</v>
      </c>
      <c r="BA26" s="86">
        <f t="shared" si="24"/>
        <v>22500</v>
      </c>
      <c r="BB26" s="86">
        <f t="shared" si="24"/>
        <v>22500</v>
      </c>
      <c r="BC26" s="86">
        <f t="shared" si="24"/>
        <v>22500</v>
      </c>
      <c r="BD26" s="86">
        <f t="shared" si="24"/>
        <v>22500</v>
      </c>
      <c r="BE26" s="82"/>
      <c r="BF26" s="86">
        <f t="shared" ref="BF26:BG26" si="25">SUMIFS($AW26:$BD26,$AW$11:$BD$11,"&gt;"&amp;BE$11,$AW$11:$BD$11,"&lt;="&amp;BF$11)</f>
        <v>0</v>
      </c>
      <c r="BG26" s="86">
        <f t="shared" si="25"/>
        <v>90000</v>
      </c>
      <c r="BH26" s="86"/>
      <c r="BI26" s="86"/>
      <c r="BJ26" s="86"/>
      <c r="BK26" s="82"/>
    </row>
    <row r="27" spans="2:63" hidden="1" outlineLevel="1" x14ac:dyDescent="0.2">
      <c r="B27" s="82"/>
      <c r="C27" s="81" t="s">
        <v>34</v>
      </c>
      <c r="D27" s="82"/>
      <c r="E27" s="82"/>
      <c r="F27" s="88">
        <v>75000</v>
      </c>
      <c r="G27" s="83">
        <f>F27/12</f>
        <v>6250</v>
      </c>
      <c r="H27" s="89">
        <v>45658</v>
      </c>
      <c r="I27" s="89">
        <v>47118</v>
      </c>
      <c r="J27" s="85"/>
      <c r="K27" s="82"/>
      <c r="L27" s="86">
        <f>IF(AND($H27&lt;='Sales, COGS, Sales Team'!L$13,$I27&gt;='Sales, COGS, Sales Team'!L$13),$G27,0)</f>
        <v>0</v>
      </c>
      <c r="M27" s="86">
        <f>IF(AND($H27&lt;='Sales, COGS, Sales Team'!M$13,$I27&gt;='Sales, COGS, Sales Team'!M$13),$G27,0)</f>
        <v>0</v>
      </c>
      <c r="N27" s="86">
        <f>IF(AND($H27&lt;='Sales, COGS, Sales Team'!N$13,$I27&gt;='Sales, COGS, Sales Team'!N$13),$G27,0)</f>
        <v>0</v>
      </c>
      <c r="O27" s="86">
        <f>IF(AND($H27&lt;='Sales, COGS, Sales Team'!O$13,$I27&gt;='Sales, COGS, Sales Team'!O$13),$G27,0)</f>
        <v>0</v>
      </c>
      <c r="P27" s="86">
        <f>IF(AND($H27&lt;='Sales, COGS, Sales Team'!P$13,$I27&gt;='Sales, COGS, Sales Team'!P$13),$G27,0)</f>
        <v>0</v>
      </c>
      <c r="Q27" s="86">
        <f>IF(AND($H27&lt;='Sales, COGS, Sales Team'!Q$13,$I27&gt;='Sales, COGS, Sales Team'!Q$13),$G27,0)</f>
        <v>0</v>
      </c>
      <c r="R27" s="86">
        <f>IF(AND($H27&lt;='Sales, COGS, Sales Team'!R$13,$I27&gt;='Sales, COGS, Sales Team'!R$13),$G27,0)</f>
        <v>0</v>
      </c>
      <c r="S27" s="86">
        <f>IF(AND($H27&lt;='Sales, COGS, Sales Team'!S$13,$I27&gt;='Sales, COGS, Sales Team'!S$13),$G27,0)</f>
        <v>0</v>
      </c>
      <c r="T27" s="86">
        <f>IF(AND($H27&lt;='Sales, COGS, Sales Team'!T$13,$I27&gt;='Sales, COGS, Sales Team'!T$13),$G27,0)</f>
        <v>0</v>
      </c>
      <c r="U27" s="86">
        <f>IF(AND($H27&lt;='Sales, COGS, Sales Team'!U$13,$I27&gt;='Sales, COGS, Sales Team'!U$13),$G27,0)</f>
        <v>0</v>
      </c>
      <c r="V27" s="86">
        <f>IF(AND($H27&lt;='Sales, COGS, Sales Team'!V$13,$I27&gt;='Sales, COGS, Sales Team'!V$13),$G27,0)</f>
        <v>0</v>
      </c>
      <c r="W27" s="86">
        <f>IF(AND($H27&lt;='Sales, COGS, Sales Team'!W$13,$I27&gt;='Sales, COGS, Sales Team'!W$13),$G27,0)</f>
        <v>0</v>
      </c>
      <c r="X27" s="86">
        <f>IF(AND($H27&lt;='Sales, COGS, Sales Team'!X$13,$I27&gt;='Sales, COGS, Sales Team'!X$13),$G27,0)</f>
        <v>0</v>
      </c>
      <c r="Y27" s="86">
        <f>IF(AND($H27&lt;='Sales, COGS, Sales Team'!Y$13,$I27&gt;='Sales, COGS, Sales Team'!Y$13),$G27,0)</f>
        <v>0</v>
      </c>
      <c r="Z27" s="86">
        <f>IF(AND($H27&lt;='Sales, COGS, Sales Team'!Z$13,$I27&gt;='Sales, COGS, Sales Team'!Z$13),$G27,0)</f>
        <v>0</v>
      </c>
      <c r="AA27" s="86">
        <f>IF(AND($H27&lt;='Sales, COGS, Sales Team'!AA$13,$I27&gt;='Sales, COGS, Sales Team'!AA$13),$G27,0)</f>
        <v>0</v>
      </c>
      <c r="AB27" s="86">
        <f>IF(AND($H27&lt;='Sales, COGS, Sales Team'!AB$13,$I27&gt;='Sales, COGS, Sales Team'!AB$13),$G27,0)</f>
        <v>0</v>
      </c>
      <c r="AC27" s="86">
        <f>IF(AND($H27&lt;='Sales, COGS, Sales Team'!AC$13,$I27&gt;='Sales, COGS, Sales Team'!AC$13),$G27,0)</f>
        <v>0</v>
      </c>
      <c r="AD27" s="86">
        <f>IF(AND($H27&lt;='Sales, COGS, Sales Team'!AD$13,$I27&gt;='Sales, COGS, Sales Team'!AD$13),$G27,0)</f>
        <v>0</v>
      </c>
      <c r="AE27" s="86">
        <f>IF(AND($H27&lt;='Sales, COGS, Sales Team'!AE$13,$I27&gt;='Sales, COGS, Sales Team'!AE$13),$G27,0)</f>
        <v>0</v>
      </c>
      <c r="AF27" s="86">
        <f>IF(AND($H27&lt;='Sales, COGS, Sales Team'!AF$13,$I27&gt;='Sales, COGS, Sales Team'!AF$13),$G27,0)</f>
        <v>0</v>
      </c>
      <c r="AG27" s="86">
        <f>IF(AND($H27&lt;='Sales, COGS, Sales Team'!AG$13,$I27&gt;='Sales, COGS, Sales Team'!AG$13),$G27,0)</f>
        <v>0</v>
      </c>
      <c r="AH27" s="86">
        <f>IF(AND($H27&lt;='Sales, COGS, Sales Team'!AH$13,$I27&gt;='Sales, COGS, Sales Team'!AH$13),$G27,0)</f>
        <v>0</v>
      </c>
      <c r="AI27" s="86">
        <f>IF(AND($H27&lt;='Sales, COGS, Sales Team'!AI$13,$I27&gt;='Sales, COGS, Sales Team'!AI$13),$G27,0)</f>
        <v>0</v>
      </c>
      <c r="AJ27" s="86">
        <f>IF(AND($H27&lt;='Sales, COGS, Sales Team'!AJ$13,$I27&gt;='Sales, COGS, Sales Team'!AJ$13),$G27,0)</f>
        <v>6250</v>
      </c>
      <c r="AK27" s="86">
        <f>IF(AND($H27&lt;='Sales, COGS, Sales Team'!AK$13,$I27&gt;='Sales, COGS, Sales Team'!AK$13),$G27,0)</f>
        <v>6250</v>
      </c>
      <c r="AL27" s="86">
        <f>IF(AND($H27&lt;='Sales, COGS, Sales Team'!AL$13,$I27&gt;='Sales, COGS, Sales Team'!AL$13),$G27,0)</f>
        <v>6250</v>
      </c>
      <c r="AM27" s="86">
        <f>IF(AND($H27&lt;='Sales, COGS, Sales Team'!AM$13,$I27&gt;='Sales, COGS, Sales Team'!AM$13),$G27,0)</f>
        <v>6250</v>
      </c>
      <c r="AN27" s="86">
        <f>IF(AND($H27&lt;='Sales, COGS, Sales Team'!AN$13,$I27&gt;='Sales, COGS, Sales Team'!AN$13),$G27,0)</f>
        <v>6250</v>
      </c>
      <c r="AO27" s="86">
        <f>IF(AND($H27&lt;='Sales, COGS, Sales Team'!AO$13,$I27&gt;='Sales, COGS, Sales Team'!AO$13),$G27,0)</f>
        <v>6250</v>
      </c>
      <c r="AP27" s="86">
        <f>IF(AND($H27&lt;='Sales, COGS, Sales Team'!AP$13,$I27&gt;='Sales, COGS, Sales Team'!AP$13),$G27,0)</f>
        <v>6250</v>
      </c>
      <c r="AQ27" s="86">
        <f>IF(AND($H27&lt;='Sales, COGS, Sales Team'!AQ$13,$I27&gt;='Sales, COGS, Sales Team'!AQ$13),$G27,0)</f>
        <v>6250</v>
      </c>
      <c r="AR27" s="86">
        <f>IF(AND($H27&lt;='Sales, COGS, Sales Team'!AR$13,$I27&gt;='Sales, COGS, Sales Team'!AR$13),$G27,0)</f>
        <v>6250</v>
      </c>
      <c r="AS27" s="86">
        <f>IF(AND($H27&lt;='Sales, COGS, Sales Team'!AS$13,$I27&gt;='Sales, COGS, Sales Team'!AS$13),$G27,0)</f>
        <v>6250</v>
      </c>
      <c r="AT27" s="86">
        <f>IF(AND($H27&lt;='Sales, COGS, Sales Team'!AT$13,$I27&gt;='Sales, COGS, Sales Team'!AT$13),$G27,0)</f>
        <v>6250</v>
      </c>
      <c r="AU27" s="86">
        <f>IF(AND($H27&lt;='Sales, COGS, Sales Team'!AU$13,$I27&gt;='Sales, COGS, Sales Team'!AU$13),$G27,0)</f>
        <v>6250</v>
      </c>
      <c r="AV27" s="82"/>
      <c r="AW27" s="86">
        <f t="shared" ref="AW27:BD27" si="26">SUMIFS($L27:$AU27,$L$11:$AU$11,"&gt;"&amp;AV$11,$L$11:$AU$11,"&lt;="&amp;AW$11)</f>
        <v>0</v>
      </c>
      <c r="AX27" s="86">
        <f t="shared" si="26"/>
        <v>0</v>
      </c>
      <c r="AY27" s="86">
        <f t="shared" si="26"/>
        <v>0</v>
      </c>
      <c r="AZ27" s="86">
        <f t="shared" si="26"/>
        <v>0</v>
      </c>
      <c r="BA27" s="86">
        <f t="shared" si="26"/>
        <v>18750</v>
      </c>
      <c r="BB27" s="86">
        <f t="shared" si="26"/>
        <v>18750</v>
      </c>
      <c r="BC27" s="86">
        <f t="shared" si="26"/>
        <v>18750</v>
      </c>
      <c r="BD27" s="86">
        <f t="shared" si="26"/>
        <v>18750</v>
      </c>
      <c r="BE27" s="82"/>
      <c r="BF27" s="86">
        <f t="shared" ref="BF27:BG27" si="27">SUMIFS($AW27:$BD27,$AW$11:$BD$11,"&gt;"&amp;BE$11,$AW$11:$BD$11,"&lt;="&amp;BF$11)</f>
        <v>0</v>
      </c>
      <c r="BG27" s="86">
        <f t="shared" si="27"/>
        <v>75000</v>
      </c>
      <c r="BH27" s="86"/>
      <c r="BI27" s="86"/>
      <c r="BJ27" s="86"/>
      <c r="BK27" s="82"/>
    </row>
    <row r="28" spans="2:63" hidden="1" outlineLevel="1" x14ac:dyDescent="0.2">
      <c r="B28" s="82"/>
      <c r="C28" s="81" t="s">
        <v>99</v>
      </c>
      <c r="D28" s="82"/>
      <c r="E28" s="82"/>
      <c r="F28" s="94"/>
      <c r="G28" s="93">
        <v>0.5</v>
      </c>
      <c r="H28" s="89">
        <v>45688</v>
      </c>
      <c r="I28" s="89">
        <v>47118</v>
      </c>
      <c r="J28" s="82"/>
      <c r="K28" s="82"/>
      <c r="L28" s="86">
        <f>-IF(AND($H28&lt;='Sales, COGS, Sales Team'!L$13,$I28&gt;='Sales, COGS, Sales Team'!L$13),$G28*SUM(L22:L23,#REF!),0)</f>
        <v>0</v>
      </c>
      <c r="M28" s="86">
        <f>-IF(AND($H28&lt;='Sales, COGS, Sales Team'!M$13,$I28&gt;='Sales, COGS, Sales Team'!M$13),$G28*SUM(M22:M23,#REF!),0)</f>
        <v>0</v>
      </c>
      <c r="N28" s="86">
        <f>-IF(AND($H28&lt;='Sales, COGS, Sales Team'!N$13,$I28&gt;='Sales, COGS, Sales Team'!N$13),$G28*SUM(N22:N23,#REF!),0)</f>
        <v>0</v>
      </c>
      <c r="O28" s="86">
        <f>-IF(AND($H28&lt;='Sales, COGS, Sales Team'!O$13,$I28&gt;='Sales, COGS, Sales Team'!O$13),$G28*SUM(O22:O23,#REF!),0)</f>
        <v>0</v>
      </c>
      <c r="P28" s="86">
        <f>-IF(AND($H28&lt;='Sales, COGS, Sales Team'!P$13,$I28&gt;='Sales, COGS, Sales Team'!P$13),$G28*SUM(P22:P23,#REF!),0)</f>
        <v>0</v>
      </c>
      <c r="Q28" s="86">
        <f>-IF(AND($H28&lt;='Sales, COGS, Sales Team'!Q$13,$I28&gt;='Sales, COGS, Sales Team'!Q$13),$G28*SUM(Q22:Q23,#REF!),0)</f>
        <v>0</v>
      </c>
      <c r="R28" s="86">
        <f>-IF(AND($H28&lt;='Sales, COGS, Sales Team'!R$13,$I28&gt;='Sales, COGS, Sales Team'!R$13),$G28*SUM(R22:R23,#REF!),0)</f>
        <v>0</v>
      </c>
      <c r="S28" s="86">
        <f>-IF(AND($H28&lt;='Sales, COGS, Sales Team'!S$13,$I28&gt;='Sales, COGS, Sales Team'!S$13),$G28*SUM(S22:S23,#REF!),0)</f>
        <v>0</v>
      </c>
      <c r="T28" s="86">
        <f>-IF(AND($H28&lt;='Sales, COGS, Sales Team'!T$13,$I28&gt;='Sales, COGS, Sales Team'!T$13),$G28*SUM(T22:T23,#REF!),0)</f>
        <v>0</v>
      </c>
      <c r="U28" s="86">
        <f>-IF(AND($H28&lt;='Sales, COGS, Sales Team'!U$13,$I28&gt;='Sales, COGS, Sales Team'!U$13),$G28*SUM(U22:U23,#REF!),0)</f>
        <v>0</v>
      </c>
      <c r="V28" s="86">
        <f>-IF(AND($H28&lt;='Sales, COGS, Sales Team'!V$13,$I28&gt;='Sales, COGS, Sales Team'!V$13),$G28*SUM(V22:V23,#REF!),0)</f>
        <v>0</v>
      </c>
      <c r="W28" s="86">
        <f>-IF(AND($H28&lt;='Sales, COGS, Sales Team'!W$13,$I28&gt;='Sales, COGS, Sales Team'!W$13),$G28*SUM(W22:W23,#REF!),0)</f>
        <v>0</v>
      </c>
      <c r="X28" s="86">
        <f>-IF(AND($H28&lt;='Sales, COGS, Sales Team'!X$13,$I28&gt;='Sales, COGS, Sales Team'!X$13),$G28*SUM(X22:X23,#REF!),0)</f>
        <v>0</v>
      </c>
      <c r="Y28" s="86">
        <f>-IF(AND($H28&lt;='Sales, COGS, Sales Team'!Y$13,$I28&gt;='Sales, COGS, Sales Team'!Y$13),$G28*SUM(Y22:Y23,#REF!),0)</f>
        <v>0</v>
      </c>
      <c r="Z28" s="86">
        <f>-IF(AND($H28&lt;='Sales, COGS, Sales Team'!Z$13,$I28&gt;='Sales, COGS, Sales Team'!Z$13),$G28*SUM(Z22:Z23,#REF!),0)</f>
        <v>0</v>
      </c>
      <c r="AA28" s="86">
        <f>-IF(AND($H28&lt;='Sales, COGS, Sales Team'!AA$13,$I28&gt;='Sales, COGS, Sales Team'!AA$13),$G28*SUM(AA22:AA23,#REF!),0)</f>
        <v>0</v>
      </c>
      <c r="AB28" s="86">
        <f>-IF(AND($H28&lt;='Sales, COGS, Sales Team'!AB$13,$I28&gt;='Sales, COGS, Sales Team'!AB$13),$G28*SUM(AB22:AB23,#REF!),0)</f>
        <v>0</v>
      </c>
      <c r="AC28" s="86">
        <f>-IF(AND($H28&lt;='Sales, COGS, Sales Team'!AC$13,$I28&gt;='Sales, COGS, Sales Team'!AC$13),$G28*SUM(AC22:AC23,#REF!),0)</f>
        <v>0</v>
      </c>
      <c r="AD28" s="86">
        <f>-IF(AND($H28&lt;='Sales, COGS, Sales Team'!AD$13,$I28&gt;='Sales, COGS, Sales Team'!AD$13),$G28*SUM(AD22:AD23,#REF!),0)</f>
        <v>0</v>
      </c>
      <c r="AE28" s="86">
        <f>-IF(AND($H28&lt;='Sales, COGS, Sales Team'!AE$13,$I28&gt;='Sales, COGS, Sales Team'!AE$13),$G28*SUM(AE22:AE23,#REF!),0)</f>
        <v>0</v>
      </c>
      <c r="AF28" s="86">
        <f>-IF(AND($H28&lt;='Sales, COGS, Sales Team'!AF$13,$I28&gt;='Sales, COGS, Sales Team'!AF$13),$G28*SUM(AF22:AF23,#REF!),0)</f>
        <v>0</v>
      </c>
      <c r="AG28" s="86">
        <f>-IF(AND($H28&lt;='Sales, COGS, Sales Team'!AG$13,$I28&gt;='Sales, COGS, Sales Team'!AG$13),$G28*SUM(AG22:AG23,#REF!),0)</f>
        <v>0</v>
      </c>
      <c r="AH28" s="86">
        <f>-IF(AND($H28&lt;='Sales, COGS, Sales Team'!AH$13,$I28&gt;='Sales, COGS, Sales Team'!AH$13),$G28*SUM(AH22:AH23,#REF!),0)</f>
        <v>0</v>
      </c>
      <c r="AI28" s="86">
        <f>-IF(AND($H28&lt;='Sales, COGS, Sales Team'!AI$13,$I28&gt;='Sales, COGS, Sales Team'!AI$13),$G28*SUM(AI22:AI23,#REF!),0)</f>
        <v>0</v>
      </c>
      <c r="AJ28" s="86">
        <f>-IF(AND($H28&lt;='Sales, COGS, Sales Team'!AJ$13,$I28&gt;='Sales, COGS, Sales Team'!AJ$13),$G28*SUM(AJ22:AJ23),0)</f>
        <v>-10000</v>
      </c>
      <c r="AK28" s="86">
        <f>-IF(AND($H28&lt;='Sales, COGS, Sales Team'!AK$13,$I28&gt;='Sales, COGS, Sales Team'!AK$13),$G28*SUM(AK22:AK23),0)</f>
        <v>-10000</v>
      </c>
      <c r="AL28" s="86">
        <f>-IF(AND($H28&lt;='Sales, COGS, Sales Team'!AL$13,$I28&gt;='Sales, COGS, Sales Team'!AL$13),$G28*SUM(AL22:AL23),0)</f>
        <v>-10000</v>
      </c>
      <c r="AM28" s="86">
        <f>-IF(AND($H28&lt;='Sales, COGS, Sales Team'!AM$13,$I28&gt;='Sales, COGS, Sales Team'!AM$13),$G28*SUM(AM22:AM23),0)</f>
        <v>-10000</v>
      </c>
      <c r="AN28" s="86">
        <f>-IF(AND($H28&lt;='Sales, COGS, Sales Team'!AN$13,$I28&gt;='Sales, COGS, Sales Team'!AN$13),$G28*SUM(AN22:AN23),0)</f>
        <v>-10000</v>
      </c>
      <c r="AO28" s="86">
        <f>-IF(AND($H28&lt;='Sales, COGS, Sales Team'!AO$13,$I28&gt;='Sales, COGS, Sales Team'!AO$13),$G28*SUM(AO22:AO23),0)</f>
        <v>-10000</v>
      </c>
      <c r="AP28" s="86">
        <f>-IF(AND($H28&lt;='Sales, COGS, Sales Team'!AP$13,$I28&gt;='Sales, COGS, Sales Team'!AP$13),$G28*SUM(AP22:AP23),0)</f>
        <v>-10000</v>
      </c>
      <c r="AQ28" s="86">
        <f>-IF(AND($H28&lt;='Sales, COGS, Sales Team'!AQ$13,$I28&gt;='Sales, COGS, Sales Team'!AQ$13),$G28*SUM(AQ22:AQ23),0)</f>
        <v>-10000</v>
      </c>
      <c r="AR28" s="86">
        <f>-IF(AND($H28&lt;='Sales, COGS, Sales Team'!AR$13,$I28&gt;='Sales, COGS, Sales Team'!AR$13),$G28*SUM(AR22:AR23),0)</f>
        <v>-10000</v>
      </c>
      <c r="AS28" s="86">
        <f>-IF(AND($H28&lt;='Sales, COGS, Sales Team'!AS$13,$I28&gt;='Sales, COGS, Sales Team'!AS$13),$G28*SUM(AS22:AS23),0)</f>
        <v>-10000</v>
      </c>
      <c r="AT28" s="86">
        <f>-IF(AND($H28&lt;='Sales, COGS, Sales Team'!AT$13,$I28&gt;='Sales, COGS, Sales Team'!AT$13),$G28*SUM(AT22:AT23),0)</f>
        <v>-10000</v>
      </c>
      <c r="AU28" s="86">
        <f>-IF(AND($H28&lt;='Sales, COGS, Sales Team'!AU$13,$I28&gt;='Sales, COGS, Sales Team'!AU$13),$G28*SUM(AU22:AU23),0)</f>
        <v>-10000</v>
      </c>
      <c r="AV28" s="82"/>
      <c r="AW28" s="86">
        <f t="shared" ref="AW28:BD28" si="28">SUMIFS($L28:$AU28,$L$11:$AU$11,"&gt;"&amp;AV$11,$L$11:$AU$11,"&lt;="&amp;AW$11)</f>
        <v>0</v>
      </c>
      <c r="AX28" s="86">
        <f t="shared" si="28"/>
        <v>0</v>
      </c>
      <c r="AY28" s="86">
        <f t="shared" si="28"/>
        <v>0</v>
      </c>
      <c r="AZ28" s="86">
        <f t="shared" si="28"/>
        <v>0</v>
      </c>
      <c r="BA28" s="86">
        <f t="shared" si="28"/>
        <v>-30000</v>
      </c>
      <c r="BB28" s="86">
        <f t="shared" si="28"/>
        <v>-30000</v>
      </c>
      <c r="BC28" s="86">
        <f t="shared" si="28"/>
        <v>-30000</v>
      </c>
      <c r="BD28" s="86">
        <f t="shared" si="28"/>
        <v>-30000</v>
      </c>
      <c r="BE28" s="82"/>
      <c r="BF28" s="86">
        <f t="shared" ref="BF28:BG28" si="29">SUMIFS($AW28:$BD28,$AW$11:$BD$11,"&gt;"&amp;BE$11,$AW$11:$BD$11,"&lt;="&amp;BF$11)</f>
        <v>0</v>
      </c>
      <c r="BG28" s="86">
        <f t="shared" si="29"/>
        <v>-120000</v>
      </c>
      <c r="BH28" s="86"/>
      <c r="BI28" s="86"/>
      <c r="BJ28" s="86"/>
      <c r="BK28" s="82"/>
    </row>
    <row r="29" spans="2:63" hidden="1" outlineLevel="1" x14ac:dyDescent="0.2">
      <c r="B29" s="82"/>
      <c r="C29" s="81" t="s">
        <v>419</v>
      </c>
      <c r="D29" s="82"/>
      <c r="E29" s="82"/>
      <c r="F29" s="94"/>
      <c r="G29" s="93">
        <v>0.5</v>
      </c>
      <c r="H29" s="89">
        <v>45322</v>
      </c>
      <c r="I29" s="89">
        <v>47118</v>
      </c>
      <c r="J29" s="82"/>
      <c r="K29" s="82"/>
      <c r="L29" s="86">
        <f>-IF(AND($H29&lt;='Sales, COGS, Sales Team'!L$13,$I29&gt;='Sales, COGS, Sales Team'!L$13),$G29*SUM(L24),0)</f>
        <v>0</v>
      </c>
      <c r="M29" s="86">
        <f>-IF(AND($H29&lt;='Sales, COGS, Sales Team'!M$13,$I29&gt;='Sales, COGS, Sales Team'!M$13),$G29*SUM(M24),0)</f>
        <v>0</v>
      </c>
      <c r="N29" s="86">
        <f>-IF(AND($H29&lt;='Sales, COGS, Sales Team'!N$13,$I29&gt;='Sales, COGS, Sales Team'!N$13),$G29*SUM(N24),0)</f>
        <v>0</v>
      </c>
      <c r="O29" s="86">
        <f>-IF(AND($H29&lt;='Sales, COGS, Sales Team'!O$13,$I29&gt;='Sales, COGS, Sales Team'!O$13),$G29*SUM(O24),0)</f>
        <v>0</v>
      </c>
      <c r="P29" s="86">
        <f>-IF(AND($H29&lt;='Sales, COGS, Sales Team'!P$13,$I29&gt;='Sales, COGS, Sales Team'!P$13),$G29*SUM(P24),0)</f>
        <v>0</v>
      </c>
      <c r="Q29" s="86">
        <f>-IF(AND($H29&lt;='Sales, COGS, Sales Team'!Q$13,$I29&gt;='Sales, COGS, Sales Team'!Q$13),$G29*SUM(Q24),0)</f>
        <v>0</v>
      </c>
      <c r="R29" s="86">
        <f>-IF(AND($H29&lt;='Sales, COGS, Sales Team'!R$13,$I29&gt;='Sales, COGS, Sales Team'!R$13),$G29*SUM(R24),0)</f>
        <v>0</v>
      </c>
      <c r="S29" s="86">
        <f>-IF(AND($H29&lt;='Sales, COGS, Sales Team'!S$13,$I29&gt;='Sales, COGS, Sales Team'!S$13),$G29*SUM(S24),0)</f>
        <v>0</v>
      </c>
      <c r="T29" s="86">
        <f>-IF(AND($H29&lt;='Sales, COGS, Sales Team'!T$13,$I29&gt;='Sales, COGS, Sales Team'!T$13),$G29*SUM(T24),0)</f>
        <v>0</v>
      </c>
      <c r="U29" s="86">
        <f>-IF(AND($H29&lt;='Sales, COGS, Sales Team'!U$13,$I29&gt;='Sales, COGS, Sales Team'!U$13),$G29*SUM(U24),0)</f>
        <v>0</v>
      </c>
      <c r="V29" s="86">
        <f>-IF(AND($H29&lt;='Sales, COGS, Sales Team'!V$13,$I29&gt;='Sales, COGS, Sales Team'!V$13),$G29*SUM(V24),0)</f>
        <v>0</v>
      </c>
      <c r="W29" s="86">
        <f>-IF(AND($H29&lt;='Sales, COGS, Sales Team'!W$13,$I29&gt;='Sales, COGS, Sales Team'!W$13),$G29*SUM(W24),0)</f>
        <v>0</v>
      </c>
      <c r="X29" s="86">
        <f>-IF(AND($H29&lt;='Sales, COGS, Sales Team'!X$13,$I29&gt;='Sales, COGS, Sales Team'!X$13),$G29*SUM(X24),0)</f>
        <v>-5000</v>
      </c>
      <c r="Y29" s="86">
        <f>-IF(AND($H29&lt;='Sales, COGS, Sales Team'!Y$13,$I29&gt;='Sales, COGS, Sales Team'!Y$13),$G29*SUM(Y24),0)</f>
        <v>-5000</v>
      </c>
      <c r="Z29" s="86">
        <f>-IF(AND($H29&lt;='Sales, COGS, Sales Team'!Z$13,$I29&gt;='Sales, COGS, Sales Team'!Z$13),$G29*SUM(Z24),0)</f>
        <v>-5000</v>
      </c>
      <c r="AA29" s="86">
        <f>-IF(AND($H29&lt;='Sales, COGS, Sales Team'!AA$13,$I29&gt;='Sales, COGS, Sales Team'!AA$13),$G29*SUM(AA24),0)</f>
        <v>-5000</v>
      </c>
      <c r="AB29" s="86">
        <f>-IF(AND($H29&lt;='Sales, COGS, Sales Team'!AB$13,$I29&gt;='Sales, COGS, Sales Team'!AB$13),$G29*SUM(AB24),0)</f>
        <v>-5000</v>
      </c>
      <c r="AC29" s="86">
        <f>-IF(AND($H29&lt;='Sales, COGS, Sales Team'!AC$13,$I29&gt;='Sales, COGS, Sales Team'!AC$13),$G29*SUM(AC24),0)</f>
        <v>-5000</v>
      </c>
      <c r="AD29" s="86">
        <f>-IF(AND($H29&lt;='Sales, COGS, Sales Team'!AD$13,$I29&gt;='Sales, COGS, Sales Team'!AD$13),$G29*SUM(AD24),0)</f>
        <v>-5000</v>
      </c>
      <c r="AE29" s="86">
        <f>-IF(AND($H29&lt;='Sales, COGS, Sales Team'!AE$13,$I29&gt;='Sales, COGS, Sales Team'!AE$13),$G29*SUM(AE24),0)</f>
        <v>-5000</v>
      </c>
      <c r="AF29" s="86">
        <f>-IF(AND($H29&lt;='Sales, COGS, Sales Team'!AF$13,$I29&gt;='Sales, COGS, Sales Team'!AF$13),$G29*SUM(AF24),0)</f>
        <v>-5000</v>
      </c>
      <c r="AG29" s="86">
        <f>-IF(AND($H29&lt;='Sales, COGS, Sales Team'!AG$13,$I29&gt;='Sales, COGS, Sales Team'!AG$13),$G29*SUM(AG24),0)</f>
        <v>-5000</v>
      </c>
      <c r="AH29" s="86">
        <f>-IF(AND($H29&lt;='Sales, COGS, Sales Team'!AH$13,$I29&gt;='Sales, COGS, Sales Team'!AH$13),$G29*SUM(AH24),0)</f>
        <v>-5000</v>
      </c>
      <c r="AI29" s="86">
        <f>-IF(AND($H29&lt;='Sales, COGS, Sales Team'!AI$13,$I29&gt;='Sales, COGS, Sales Team'!AI$13),$G29*SUM(AI24),0)</f>
        <v>-5000</v>
      </c>
      <c r="AJ29" s="86">
        <f>-IF(AND($H29&lt;='Sales, COGS, Sales Team'!AJ$13,$I29&gt;='Sales, COGS, Sales Team'!AJ$13),$G29*SUM(AJ24),0)</f>
        <v>-5000</v>
      </c>
      <c r="AK29" s="86">
        <f>-IF(AND($H29&lt;='Sales, COGS, Sales Team'!AK$13,$I29&gt;='Sales, COGS, Sales Team'!AK$13),$G29*SUM(AK24),0)</f>
        <v>-5000</v>
      </c>
      <c r="AL29" s="86">
        <f>-IF(AND($H29&lt;='Sales, COGS, Sales Team'!AL$13,$I29&gt;='Sales, COGS, Sales Team'!AL$13),$G29*SUM(AL24),0)</f>
        <v>-5000</v>
      </c>
      <c r="AM29" s="86">
        <f>-IF(AND($H29&lt;='Sales, COGS, Sales Team'!AM$13,$I29&gt;='Sales, COGS, Sales Team'!AM$13),$G29*SUM(AM24),0)</f>
        <v>-5000</v>
      </c>
      <c r="AN29" s="86">
        <f>-IF(AND($H29&lt;='Sales, COGS, Sales Team'!AN$13,$I29&gt;='Sales, COGS, Sales Team'!AN$13),$G29*SUM(AN24),0)</f>
        <v>-5000</v>
      </c>
      <c r="AO29" s="86">
        <f>-IF(AND($H29&lt;='Sales, COGS, Sales Team'!AO$13,$I29&gt;='Sales, COGS, Sales Team'!AO$13),$G29*SUM(AO24),0)</f>
        <v>-5000</v>
      </c>
      <c r="AP29" s="86">
        <f>-IF(AND($H29&lt;='Sales, COGS, Sales Team'!AP$13,$I29&gt;='Sales, COGS, Sales Team'!AP$13),$G29*SUM(AP24),0)</f>
        <v>-5000</v>
      </c>
      <c r="AQ29" s="86">
        <f>-IF(AND($H29&lt;='Sales, COGS, Sales Team'!AQ$13,$I29&gt;='Sales, COGS, Sales Team'!AQ$13),$G29*SUM(AQ24),0)</f>
        <v>-5000</v>
      </c>
      <c r="AR29" s="86">
        <f>-IF(AND($H29&lt;='Sales, COGS, Sales Team'!AR$13,$I29&gt;='Sales, COGS, Sales Team'!AR$13),$G29*SUM(AR24),0)</f>
        <v>-5000</v>
      </c>
      <c r="AS29" s="86">
        <f>-IF(AND($H29&lt;='Sales, COGS, Sales Team'!AS$13,$I29&gt;='Sales, COGS, Sales Team'!AS$13),$G29*SUM(AS24),0)</f>
        <v>-5000</v>
      </c>
      <c r="AT29" s="86">
        <f>-IF(AND($H29&lt;='Sales, COGS, Sales Team'!AT$13,$I29&gt;='Sales, COGS, Sales Team'!AT$13),$G29*SUM(AT24),0)</f>
        <v>-5000</v>
      </c>
      <c r="AU29" s="86">
        <f>-IF(AND($H29&lt;='Sales, COGS, Sales Team'!AU$13,$I29&gt;='Sales, COGS, Sales Team'!AU$13),$G29*SUM(AU24),0)</f>
        <v>-5000</v>
      </c>
      <c r="AV29" s="82"/>
      <c r="AW29" s="86">
        <f t="shared" ref="AW29:BD29" si="30">SUMIFS($L29:$AU29,$L$11:$AU$11,"&gt;"&amp;AV$11,$L$11:$AU$11,"&lt;="&amp;AW$11)</f>
        <v>-15000</v>
      </c>
      <c r="AX29" s="86">
        <f t="shared" si="30"/>
        <v>-15000</v>
      </c>
      <c r="AY29" s="86">
        <f t="shared" si="30"/>
        <v>-15000</v>
      </c>
      <c r="AZ29" s="86">
        <f t="shared" si="30"/>
        <v>-15000</v>
      </c>
      <c r="BA29" s="86">
        <f t="shared" si="30"/>
        <v>-15000</v>
      </c>
      <c r="BB29" s="86">
        <f t="shared" si="30"/>
        <v>-15000</v>
      </c>
      <c r="BC29" s="86">
        <f t="shared" si="30"/>
        <v>-15000</v>
      </c>
      <c r="BD29" s="86">
        <f t="shared" si="30"/>
        <v>-15000</v>
      </c>
      <c r="BE29" s="82"/>
      <c r="BF29" s="86">
        <f t="shared" ref="BF29:BG29" si="31">SUMIFS($AW29:$BD29,$AW$11:$BD$11,"&gt;"&amp;BE$11,$AW$11:$BD$11,"&lt;="&amp;BF$11)</f>
        <v>-60000</v>
      </c>
      <c r="BG29" s="86">
        <f t="shared" si="31"/>
        <v>-60000</v>
      </c>
      <c r="BH29" s="86"/>
      <c r="BI29" s="86"/>
      <c r="BJ29" s="86"/>
      <c r="BK29" s="82"/>
    </row>
    <row r="30" spans="2:63" s="82" customFormat="1" hidden="1" outlineLevel="1" x14ac:dyDescent="0.2">
      <c r="C30" s="284" t="s">
        <v>35</v>
      </c>
      <c r="L30" s="172">
        <f t="shared" ref="L30:AU30" si="32">SUM(L22:L29)</f>
        <v>0</v>
      </c>
      <c r="M30" s="172">
        <f t="shared" si="32"/>
        <v>0</v>
      </c>
      <c r="N30" s="172">
        <f t="shared" si="32"/>
        <v>0</v>
      </c>
      <c r="O30" s="172">
        <f t="shared" si="32"/>
        <v>0</v>
      </c>
      <c r="P30" s="172">
        <f t="shared" si="32"/>
        <v>0</v>
      </c>
      <c r="Q30" s="172">
        <f t="shared" si="32"/>
        <v>0</v>
      </c>
      <c r="R30" s="172">
        <f t="shared" si="32"/>
        <v>0</v>
      </c>
      <c r="S30" s="172">
        <f t="shared" si="32"/>
        <v>0</v>
      </c>
      <c r="T30" s="172">
        <f t="shared" si="32"/>
        <v>30000</v>
      </c>
      <c r="U30" s="172">
        <f t="shared" si="32"/>
        <v>30000</v>
      </c>
      <c r="V30" s="172">
        <f t="shared" si="32"/>
        <v>30000</v>
      </c>
      <c r="W30" s="172">
        <f t="shared" si="32"/>
        <v>30000</v>
      </c>
      <c r="X30" s="172">
        <f t="shared" si="32"/>
        <v>25000</v>
      </c>
      <c r="Y30" s="172">
        <f t="shared" si="32"/>
        <v>25000</v>
      </c>
      <c r="Z30" s="172">
        <f t="shared" si="32"/>
        <v>25000</v>
      </c>
      <c r="AA30" s="172">
        <f t="shared" si="32"/>
        <v>25000</v>
      </c>
      <c r="AB30" s="172">
        <f t="shared" si="32"/>
        <v>25000</v>
      </c>
      <c r="AC30" s="172">
        <f t="shared" si="32"/>
        <v>25000</v>
      </c>
      <c r="AD30" s="172">
        <f t="shared" si="32"/>
        <v>25000</v>
      </c>
      <c r="AE30" s="172">
        <f t="shared" si="32"/>
        <v>25000</v>
      </c>
      <c r="AF30" s="172">
        <f t="shared" si="32"/>
        <v>25000</v>
      </c>
      <c r="AG30" s="172">
        <f t="shared" si="32"/>
        <v>25000</v>
      </c>
      <c r="AH30" s="172">
        <f t="shared" si="32"/>
        <v>25000</v>
      </c>
      <c r="AI30" s="172">
        <f t="shared" si="32"/>
        <v>25000</v>
      </c>
      <c r="AJ30" s="172">
        <f t="shared" si="32"/>
        <v>34166.666666666664</v>
      </c>
      <c r="AK30" s="172">
        <f t="shared" si="32"/>
        <v>34166.666666666664</v>
      </c>
      <c r="AL30" s="172">
        <f t="shared" si="32"/>
        <v>34166.666666666664</v>
      </c>
      <c r="AM30" s="172">
        <f t="shared" si="32"/>
        <v>34166.666666666664</v>
      </c>
      <c r="AN30" s="172">
        <f t="shared" si="32"/>
        <v>34166.666666666664</v>
      </c>
      <c r="AO30" s="172">
        <f t="shared" si="32"/>
        <v>34166.666666666664</v>
      </c>
      <c r="AP30" s="172">
        <f t="shared" si="32"/>
        <v>34166.666666666664</v>
      </c>
      <c r="AQ30" s="172">
        <f t="shared" si="32"/>
        <v>34166.666666666664</v>
      </c>
      <c r="AR30" s="172">
        <f t="shared" si="32"/>
        <v>34166.666666666664</v>
      </c>
      <c r="AS30" s="172">
        <f t="shared" si="32"/>
        <v>34166.666666666664</v>
      </c>
      <c r="AT30" s="172">
        <f t="shared" si="32"/>
        <v>34166.666666666664</v>
      </c>
      <c r="AU30" s="172">
        <f t="shared" si="32"/>
        <v>34166.666666666664</v>
      </c>
      <c r="AW30" s="172">
        <f t="shared" ref="AW30:BD30" si="33">SUM(AW22:AW28)</f>
        <v>90000</v>
      </c>
      <c r="AX30" s="172">
        <f t="shared" si="33"/>
        <v>90000</v>
      </c>
      <c r="AY30" s="172">
        <f t="shared" si="33"/>
        <v>90000</v>
      </c>
      <c r="AZ30" s="172">
        <f t="shared" si="33"/>
        <v>90000</v>
      </c>
      <c r="BA30" s="172">
        <f t="shared" si="33"/>
        <v>117500</v>
      </c>
      <c r="BB30" s="172">
        <f t="shared" si="33"/>
        <v>117500</v>
      </c>
      <c r="BC30" s="172">
        <f t="shared" si="33"/>
        <v>117500</v>
      </c>
      <c r="BD30" s="172">
        <f t="shared" si="33"/>
        <v>117500</v>
      </c>
      <c r="BF30" s="172">
        <f>SUM(BF22:BF28)</f>
        <v>360000</v>
      </c>
      <c r="BG30" s="172">
        <f>SUM(BG22:BG28)</f>
        <v>470000</v>
      </c>
      <c r="BH30" s="172">
        <f>BG30*(1+H35)</f>
        <v>705000</v>
      </c>
      <c r="BI30" s="172">
        <f>BH30*(1+I35)</f>
        <v>1057500</v>
      </c>
      <c r="BJ30" s="172">
        <f>BI30*(1+J35)</f>
        <v>1586250</v>
      </c>
    </row>
    <row r="31" spans="2:63" s="82" customFormat="1" hidden="1" outlineLevel="1" x14ac:dyDescent="0.2">
      <c r="C31" s="90" t="s">
        <v>8</v>
      </c>
      <c r="F31" s="93">
        <v>0.1</v>
      </c>
      <c r="L31" s="91">
        <f t="shared" ref="L31:AU31" si="34">(L22+L23+L24)*$F$31</f>
        <v>0</v>
      </c>
      <c r="M31" s="91">
        <f t="shared" si="34"/>
        <v>0</v>
      </c>
      <c r="N31" s="91">
        <f t="shared" si="34"/>
        <v>0</v>
      </c>
      <c r="O31" s="91">
        <f t="shared" si="34"/>
        <v>0</v>
      </c>
      <c r="P31" s="91">
        <f t="shared" si="34"/>
        <v>0</v>
      </c>
      <c r="Q31" s="91">
        <f t="shared" si="34"/>
        <v>0</v>
      </c>
      <c r="R31" s="91">
        <f t="shared" si="34"/>
        <v>0</v>
      </c>
      <c r="S31" s="91">
        <f t="shared" si="34"/>
        <v>0</v>
      </c>
      <c r="T31" s="91">
        <f t="shared" si="34"/>
        <v>3000</v>
      </c>
      <c r="U31" s="91">
        <f t="shared" si="34"/>
        <v>3000</v>
      </c>
      <c r="V31" s="91">
        <f t="shared" si="34"/>
        <v>3000</v>
      </c>
      <c r="W31" s="91">
        <f t="shared" si="34"/>
        <v>3000</v>
      </c>
      <c r="X31" s="91">
        <f t="shared" si="34"/>
        <v>3000</v>
      </c>
      <c r="Y31" s="91">
        <f t="shared" si="34"/>
        <v>3000</v>
      </c>
      <c r="Z31" s="91">
        <f t="shared" si="34"/>
        <v>3000</v>
      </c>
      <c r="AA31" s="91">
        <f t="shared" si="34"/>
        <v>3000</v>
      </c>
      <c r="AB31" s="91">
        <f t="shared" si="34"/>
        <v>3000</v>
      </c>
      <c r="AC31" s="91">
        <f t="shared" si="34"/>
        <v>3000</v>
      </c>
      <c r="AD31" s="91">
        <f t="shared" si="34"/>
        <v>3000</v>
      </c>
      <c r="AE31" s="91">
        <f t="shared" si="34"/>
        <v>3000</v>
      </c>
      <c r="AF31" s="91">
        <f t="shared" si="34"/>
        <v>3000</v>
      </c>
      <c r="AG31" s="91">
        <f t="shared" si="34"/>
        <v>3000</v>
      </c>
      <c r="AH31" s="91">
        <f t="shared" si="34"/>
        <v>3000</v>
      </c>
      <c r="AI31" s="91">
        <f t="shared" si="34"/>
        <v>3000</v>
      </c>
      <c r="AJ31" s="91">
        <f t="shared" si="34"/>
        <v>3000</v>
      </c>
      <c r="AK31" s="91">
        <f t="shared" si="34"/>
        <v>3000</v>
      </c>
      <c r="AL31" s="91">
        <f t="shared" si="34"/>
        <v>3000</v>
      </c>
      <c r="AM31" s="91">
        <f t="shared" si="34"/>
        <v>3000</v>
      </c>
      <c r="AN31" s="91">
        <f t="shared" si="34"/>
        <v>3000</v>
      </c>
      <c r="AO31" s="91">
        <f t="shared" si="34"/>
        <v>3000</v>
      </c>
      <c r="AP31" s="91">
        <f t="shared" si="34"/>
        <v>3000</v>
      </c>
      <c r="AQ31" s="91">
        <f t="shared" si="34"/>
        <v>3000</v>
      </c>
      <c r="AR31" s="91">
        <f t="shared" si="34"/>
        <v>3000</v>
      </c>
      <c r="AS31" s="91">
        <f t="shared" si="34"/>
        <v>3000</v>
      </c>
      <c r="AT31" s="91">
        <f t="shared" si="34"/>
        <v>3000</v>
      </c>
      <c r="AU31" s="91">
        <f t="shared" si="34"/>
        <v>3000</v>
      </c>
      <c r="AW31" s="91">
        <f t="shared" ref="AW31:BD31" si="35">SUMIFS($L31:$AU31,$L$11:$AU$11,"&gt;"&amp;AV$11,$L$11:$AU$11,"&lt;="&amp;AW$11)</f>
        <v>9000</v>
      </c>
      <c r="AX31" s="91">
        <f t="shared" si="35"/>
        <v>9000</v>
      </c>
      <c r="AY31" s="91">
        <f t="shared" si="35"/>
        <v>9000</v>
      </c>
      <c r="AZ31" s="91">
        <f t="shared" si="35"/>
        <v>9000</v>
      </c>
      <c r="BA31" s="91">
        <f t="shared" si="35"/>
        <v>9000</v>
      </c>
      <c r="BB31" s="91">
        <f t="shared" si="35"/>
        <v>9000</v>
      </c>
      <c r="BC31" s="91">
        <f t="shared" si="35"/>
        <v>9000</v>
      </c>
      <c r="BD31" s="91">
        <f t="shared" si="35"/>
        <v>9000</v>
      </c>
      <c r="BF31" s="91">
        <f t="shared" ref="BF31:BG31" si="36">SUMIFS($AW31:$BD31,$AW$11:$BD$11,"&gt;"&amp;BE$11,$AW$11:$BD$11,"&lt;="&amp;BF$11)</f>
        <v>36000</v>
      </c>
      <c r="BG31" s="91">
        <f t="shared" si="36"/>
        <v>36000</v>
      </c>
      <c r="BH31" s="91">
        <f>BG31*(1+H35)</f>
        <v>54000</v>
      </c>
      <c r="BI31" s="91">
        <f>BH31*(1+I35)</f>
        <v>81000</v>
      </c>
      <c r="BJ31" s="91">
        <f>BI31*(1+J35)</f>
        <v>121500</v>
      </c>
    </row>
    <row r="32" spans="2:63" s="82" customFormat="1" hidden="1" outlineLevel="1" x14ac:dyDescent="0.2">
      <c r="C32" s="81"/>
      <c r="F32" s="174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W32" s="86"/>
      <c r="AX32" s="86"/>
      <c r="AY32" s="86"/>
      <c r="AZ32" s="86"/>
      <c r="BA32" s="86"/>
      <c r="BB32" s="86"/>
      <c r="BC32" s="86"/>
      <c r="BD32" s="86"/>
      <c r="BF32" s="86"/>
      <c r="BG32" s="86"/>
      <c r="BH32" s="86"/>
      <c r="BI32" s="86"/>
      <c r="BJ32" s="86"/>
    </row>
    <row r="33" spans="2:63" s="82" customFormat="1" hidden="1" outlineLevel="1" x14ac:dyDescent="0.2">
      <c r="B33" s="14"/>
      <c r="C33" s="81" t="s">
        <v>418</v>
      </c>
      <c r="D33" s="14"/>
      <c r="E33" s="14"/>
      <c r="F33" s="14"/>
      <c r="G33" s="14"/>
      <c r="H33" s="14"/>
      <c r="I33" s="14"/>
      <c r="J33" s="14"/>
      <c r="K33" s="14"/>
      <c r="L33" s="276">
        <f>'Sales, COGS, Sales Team'!L157</f>
        <v>0</v>
      </c>
      <c r="M33" s="276"/>
      <c r="N33" s="276"/>
      <c r="O33" s="276"/>
      <c r="P33" s="276"/>
      <c r="Q33" s="276"/>
      <c r="R33" s="276"/>
      <c r="S33" s="276"/>
      <c r="T33" s="276"/>
      <c r="U33" s="276"/>
      <c r="V33" s="276"/>
      <c r="W33" s="276"/>
      <c r="X33" s="276"/>
      <c r="Y33" s="276"/>
      <c r="Z33" s="276"/>
      <c r="AA33" s="276"/>
      <c r="AB33" s="276"/>
      <c r="AC33" s="276"/>
      <c r="AD33" s="276"/>
      <c r="AE33" s="276"/>
      <c r="AF33" s="276"/>
      <c r="AG33" s="276"/>
      <c r="AH33" s="276"/>
      <c r="AI33" s="276"/>
      <c r="AJ33" s="276"/>
      <c r="AK33" s="276"/>
      <c r="AL33" s="276"/>
      <c r="AM33" s="276"/>
      <c r="AN33" s="276"/>
      <c r="AO33" s="276"/>
      <c r="AP33" s="276"/>
      <c r="AQ33" s="276"/>
      <c r="AR33" s="276"/>
      <c r="AS33" s="276"/>
      <c r="AT33" s="276"/>
      <c r="AU33" s="276"/>
      <c r="AV33" s="14"/>
      <c r="AW33" s="294">
        <f>INDEX('Sales, COGS, Sales Team'!$AW$20:$BD$158,MATCH('3-Statement Model'!$C33,'Sales, COGS, Sales Team'!$C$20:$C$158,0),MATCH('3-Statement Model'!AW$11,'Sales, COGS, Sales Team'!$AW$11:$BD$11,0))</f>
        <v>36169.472499999996</v>
      </c>
      <c r="AX33" s="294">
        <f>INDEX('Sales, COGS, Sales Team'!$AW$20:$BD$158,MATCH('3-Statement Model'!$C33,'Sales, COGS, Sales Team'!$C$20:$C$158,0),MATCH('3-Statement Model'!AX$11,'Sales, COGS, Sales Team'!$AW$11:$BD$11,0))</f>
        <v>45718.096749999997</v>
      </c>
      <c r="AY33" s="294">
        <f>INDEX('Sales, COGS, Sales Team'!$AW$20:$BD$158,MATCH('3-Statement Model'!$C33,'Sales, COGS, Sales Team'!$C$20:$C$158,0),MATCH('3-Statement Model'!AY$11,'Sales, COGS, Sales Team'!$AW$11:$BD$11,0))</f>
        <v>48335.316808749994</v>
      </c>
      <c r="AZ33" s="294">
        <f>INDEX('Sales, COGS, Sales Team'!$AW$20:$BD$158,MATCH('3-Statement Model'!$C33,'Sales, COGS, Sales Team'!$C$20:$C$158,0),MATCH('3-Statement Model'!AZ$11,'Sales, COGS, Sales Team'!$AW$11:$BD$11,0))</f>
        <v>60022.65625</v>
      </c>
      <c r="BA33" s="294">
        <f>INDEX('Sales, COGS, Sales Team'!$AW$20:$BD$158,MATCH('3-Statement Model'!$C33,'Sales, COGS, Sales Team'!$C$20:$C$158,0),MATCH('3-Statement Model'!BA$11,'Sales, COGS, Sales Team'!$AW$11:$BD$11,0))</f>
        <v>111805.375</v>
      </c>
      <c r="BB33" s="294">
        <f>INDEX('Sales, COGS, Sales Team'!$AW$20:$BD$158,MATCH('3-Statement Model'!$C33,'Sales, COGS, Sales Team'!$C$20:$C$158,0),MATCH('3-Statement Model'!BB$11,'Sales, COGS, Sales Team'!$AW$11:$BD$11,0))</f>
        <v>126544.74250000002</v>
      </c>
      <c r="BC33" s="294">
        <f>INDEX('Sales, COGS, Sales Team'!$AW$20:$BD$158,MATCH('3-Statement Model'!$C33,'Sales, COGS, Sales Team'!$C$20:$C$158,0),MATCH('3-Statement Model'!BC$11,'Sales, COGS, Sales Team'!$AW$11:$BD$11,0))</f>
        <v>139017.8180875</v>
      </c>
      <c r="BD33" s="294">
        <f>INDEX('Sales, COGS, Sales Team'!$AW$20:$BD$158,MATCH('3-Statement Model'!$C33,'Sales, COGS, Sales Team'!$C$20:$C$158,0),MATCH('3-Statement Model'!BD$11,'Sales, COGS, Sales Team'!$AW$11:$BD$11,0))</f>
        <v>172079.875</v>
      </c>
      <c r="BE33" s="7"/>
      <c r="BF33" s="24">
        <f t="shared" ref="BF33:BG33" si="37">SUMIFS($AW33:$BD33,$AW$11:$BD$11,"&gt;"&amp;BE$11,$AW$11:$BD$11,"&lt;="&amp;BF$11)</f>
        <v>190245.54230874998</v>
      </c>
      <c r="BG33" s="24">
        <f t="shared" si="37"/>
        <v>549447.81058749999</v>
      </c>
      <c r="BH33" s="294">
        <f>INDEX('Sales, COGS, Sales Team'!$BH$20:$BJ$158,MATCH('3-Statement Model'!$C33,'Sales, COGS, Sales Team'!$C$20:$C$158,0),MATCH('3-Statement Model'!BH$11,'Sales, COGS, Sales Team'!$BH$11:$BJ$11,0))</f>
        <v>796270.75</v>
      </c>
      <c r="BI33" s="294">
        <f>INDEX('Sales, COGS, Sales Team'!$BH$20:$BJ$158,MATCH('3-Statement Model'!$C33,'Sales, COGS, Sales Team'!$C$20:$C$158,0),MATCH('3-Statement Model'!BI$11,'Sales, COGS, Sales Team'!$BH$11:$BJ$11,0))</f>
        <v>1394354.5000000002</v>
      </c>
      <c r="BJ33" s="294">
        <f>INDEX('Sales, COGS, Sales Team'!$BH$20:$BJ$158,MATCH('3-Statement Model'!$C33,'Sales, COGS, Sales Team'!$C$20:$C$158,0),MATCH('3-Statement Model'!BJ$11,'Sales, COGS, Sales Team'!$BH$11:$BJ$11,0))</f>
        <v>2482488.2500000005</v>
      </c>
      <c r="BK33" s="14"/>
    </row>
    <row r="34" spans="2:63" s="82" customFormat="1" hidden="1" outlineLevel="1" x14ac:dyDescent="0.2">
      <c r="C34" s="90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W34" s="91"/>
      <c r="AX34" s="91"/>
      <c r="AY34" s="91"/>
      <c r="AZ34" s="91"/>
      <c r="BA34" s="91"/>
      <c r="BB34" s="91"/>
      <c r="BC34" s="91"/>
      <c r="BD34" s="91"/>
      <c r="BF34" s="91"/>
      <c r="BG34" s="91"/>
      <c r="BH34" s="91"/>
      <c r="BI34" s="91"/>
      <c r="BJ34" s="91"/>
    </row>
    <row r="35" spans="2:63" collapsed="1" x14ac:dyDescent="0.2">
      <c r="C35" s="23" t="s">
        <v>116</v>
      </c>
      <c r="F35" s="38"/>
      <c r="G35" s="38"/>
      <c r="H35" s="185">
        <f>'Key Assumptions + Summary'!F75</f>
        <v>0.5</v>
      </c>
      <c r="I35" s="185">
        <f>'Key Assumptions + Summary'!G75</f>
        <v>0.5</v>
      </c>
      <c r="J35" s="185">
        <f>'Key Assumptions + Summary'!H75</f>
        <v>0.5</v>
      </c>
      <c r="L35" s="24">
        <f t="shared" ref="L35:AU35" si="38">SUM(L30:L33)</f>
        <v>0</v>
      </c>
      <c r="M35" s="24">
        <f t="shared" si="38"/>
        <v>0</v>
      </c>
      <c r="N35" s="24">
        <f t="shared" si="38"/>
        <v>0</v>
      </c>
      <c r="O35" s="24">
        <f t="shared" si="38"/>
        <v>0</v>
      </c>
      <c r="P35" s="24">
        <f t="shared" si="38"/>
        <v>0</v>
      </c>
      <c r="Q35" s="24">
        <f t="shared" si="38"/>
        <v>0</v>
      </c>
      <c r="R35" s="24">
        <f t="shared" si="38"/>
        <v>0</v>
      </c>
      <c r="S35" s="24">
        <f t="shared" si="38"/>
        <v>0</v>
      </c>
      <c r="T35" s="24">
        <f t="shared" si="38"/>
        <v>33000</v>
      </c>
      <c r="U35" s="24">
        <f t="shared" si="38"/>
        <v>33000</v>
      </c>
      <c r="V35" s="24">
        <f t="shared" si="38"/>
        <v>33000</v>
      </c>
      <c r="W35" s="24">
        <f t="shared" si="38"/>
        <v>33000</v>
      </c>
      <c r="X35" s="24">
        <f t="shared" si="38"/>
        <v>28000</v>
      </c>
      <c r="Y35" s="24">
        <f t="shared" si="38"/>
        <v>28000</v>
      </c>
      <c r="Z35" s="24">
        <f t="shared" si="38"/>
        <v>28000</v>
      </c>
      <c r="AA35" s="24">
        <f t="shared" si="38"/>
        <v>28000</v>
      </c>
      <c r="AB35" s="24">
        <f t="shared" si="38"/>
        <v>28000</v>
      </c>
      <c r="AC35" s="24">
        <f t="shared" si="38"/>
        <v>28000</v>
      </c>
      <c r="AD35" s="24">
        <f t="shared" si="38"/>
        <v>28000</v>
      </c>
      <c r="AE35" s="24">
        <f t="shared" si="38"/>
        <v>28000</v>
      </c>
      <c r="AF35" s="24">
        <f t="shared" si="38"/>
        <v>28000</v>
      </c>
      <c r="AG35" s="24">
        <f t="shared" si="38"/>
        <v>28000</v>
      </c>
      <c r="AH35" s="24">
        <f t="shared" si="38"/>
        <v>28000</v>
      </c>
      <c r="AI35" s="24">
        <f t="shared" si="38"/>
        <v>28000</v>
      </c>
      <c r="AJ35" s="24">
        <f t="shared" si="38"/>
        <v>37166.666666666664</v>
      </c>
      <c r="AK35" s="24">
        <f t="shared" si="38"/>
        <v>37166.666666666664</v>
      </c>
      <c r="AL35" s="24">
        <f t="shared" si="38"/>
        <v>37166.666666666664</v>
      </c>
      <c r="AM35" s="24">
        <f t="shared" si="38"/>
        <v>37166.666666666664</v>
      </c>
      <c r="AN35" s="24">
        <f t="shared" si="38"/>
        <v>37166.666666666664</v>
      </c>
      <c r="AO35" s="24">
        <f t="shared" si="38"/>
        <v>37166.666666666664</v>
      </c>
      <c r="AP35" s="24">
        <f t="shared" si="38"/>
        <v>37166.666666666664</v>
      </c>
      <c r="AQ35" s="24">
        <f t="shared" si="38"/>
        <v>37166.666666666664</v>
      </c>
      <c r="AR35" s="24">
        <f t="shared" si="38"/>
        <v>37166.666666666664</v>
      </c>
      <c r="AS35" s="24">
        <f t="shared" si="38"/>
        <v>37166.666666666664</v>
      </c>
      <c r="AT35" s="24">
        <f t="shared" si="38"/>
        <v>37166.666666666664</v>
      </c>
      <c r="AU35" s="24">
        <f t="shared" si="38"/>
        <v>37166.666666666664</v>
      </c>
      <c r="AW35" s="24">
        <f t="shared" ref="AW35:BD35" si="39">SUM(AW30:AW33)</f>
        <v>135169.4725</v>
      </c>
      <c r="AX35" s="24">
        <f t="shared" si="39"/>
        <v>144718.09675</v>
      </c>
      <c r="AY35" s="24">
        <f t="shared" si="39"/>
        <v>147335.31680874998</v>
      </c>
      <c r="AZ35" s="24">
        <f t="shared" si="39"/>
        <v>159022.65625</v>
      </c>
      <c r="BA35" s="24">
        <f t="shared" si="39"/>
        <v>238305.375</v>
      </c>
      <c r="BB35" s="24">
        <f t="shared" si="39"/>
        <v>253044.74250000002</v>
      </c>
      <c r="BC35" s="24">
        <f t="shared" si="39"/>
        <v>265517.8180875</v>
      </c>
      <c r="BD35" s="24">
        <f t="shared" si="39"/>
        <v>298579.875</v>
      </c>
      <c r="BF35" s="24">
        <f>SUM(BF30:BF33)</f>
        <v>586245.54230874998</v>
      </c>
      <c r="BG35" s="24">
        <f>SUM(BG30:BG33)</f>
        <v>1055447.8105875</v>
      </c>
      <c r="BH35" s="24">
        <f>SUM(BH30:BH33)</f>
        <v>1555270.75</v>
      </c>
      <c r="BI35" s="24">
        <f>SUM(BI30:BI33)</f>
        <v>2532854.5</v>
      </c>
      <c r="BJ35" s="24">
        <f>SUM(BJ30:BJ33)</f>
        <v>4190238.2500000005</v>
      </c>
    </row>
    <row r="36" spans="2:63" hidden="1" outlineLevel="1" x14ac:dyDescent="0.2">
      <c r="C36" s="23"/>
    </row>
    <row r="37" spans="2:63" ht="15" hidden="1" outlineLevel="1" x14ac:dyDescent="0.35">
      <c r="C37" s="77" t="s">
        <v>28</v>
      </c>
      <c r="F37" s="69" t="s">
        <v>382</v>
      </c>
      <c r="G37" s="69" t="s">
        <v>30</v>
      </c>
      <c r="H37" s="69" t="s">
        <v>31</v>
      </c>
      <c r="I37" s="69" t="s">
        <v>72</v>
      </c>
    </row>
    <row r="38" spans="2:63" hidden="1" outlineLevel="1" x14ac:dyDescent="0.2">
      <c r="C38" s="46" t="s">
        <v>11</v>
      </c>
      <c r="F38" s="40">
        <v>5000</v>
      </c>
      <c r="G38" s="31">
        <f>F38/12</f>
        <v>416.66666666666669</v>
      </c>
      <c r="H38" s="34">
        <v>45199</v>
      </c>
      <c r="I38" s="34">
        <v>46022</v>
      </c>
      <c r="J38" s="34"/>
      <c r="L38" s="24">
        <f>IF(AND($H38&lt;='Sales, COGS, Sales Team'!L$13,$I38&gt;='Sales, COGS, Sales Team'!L$13),$G38,0)</f>
        <v>0</v>
      </c>
      <c r="M38" s="24">
        <f>IF(AND($H38&lt;='Sales, COGS, Sales Team'!M$13,$I38&gt;='Sales, COGS, Sales Team'!M$13),$G38,0)</f>
        <v>0</v>
      </c>
      <c r="N38" s="24">
        <f>IF(AND($H38&lt;='Sales, COGS, Sales Team'!N$13,$I38&gt;='Sales, COGS, Sales Team'!N$13),$G38,0)</f>
        <v>0</v>
      </c>
      <c r="O38" s="24">
        <f>IF(AND($H38&lt;='Sales, COGS, Sales Team'!O$13,$I38&gt;='Sales, COGS, Sales Team'!O$13),$G38,0)</f>
        <v>0</v>
      </c>
      <c r="P38" s="24">
        <f>IF(AND($H38&lt;='Sales, COGS, Sales Team'!P$13,$I38&gt;='Sales, COGS, Sales Team'!P$13),$G38,0)</f>
        <v>0</v>
      </c>
      <c r="Q38" s="24">
        <f>IF(AND($H38&lt;='Sales, COGS, Sales Team'!Q$13,$I38&gt;='Sales, COGS, Sales Team'!Q$13),$G38,0)</f>
        <v>0</v>
      </c>
      <c r="R38" s="24">
        <f>IF(AND($H38&lt;='Sales, COGS, Sales Team'!R$13,$I38&gt;='Sales, COGS, Sales Team'!R$13),$G38,0)</f>
        <v>0</v>
      </c>
      <c r="S38" s="24">
        <f>IF(AND($H38&lt;='Sales, COGS, Sales Team'!S$13,$I38&gt;='Sales, COGS, Sales Team'!S$13),$G38,0)</f>
        <v>0</v>
      </c>
      <c r="T38" s="24">
        <f>IF(AND($H38&lt;='Sales, COGS, Sales Team'!T$13,$I38&gt;='Sales, COGS, Sales Team'!T$13),$G38,0)</f>
        <v>416.66666666666669</v>
      </c>
      <c r="U38" s="24">
        <f>IF(AND($H38&lt;='Sales, COGS, Sales Team'!U$13,$I38&gt;='Sales, COGS, Sales Team'!U$13),$G38,0)</f>
        <v>416.66666666666669</v>
      </c>
      <c r="V38" s="24">
        <f>IF(AND($H38&lt;='Sales, COGS, Sales Team'!V$13,$I38&gt;='Sales, COGS, Sales Team'!V$13),$G38,0)</f>
        <v>416.66666666666669</v>
      </c>
      <c r="W38" s="24">
        <f>IF(AND($H38&lt;='Sales, COGS, Sales Team'!W$13,$I38&gt;='Sales, COGS, Sales Team'!W$13),$G38,0)</f>
        <v>416.66666666666669</v>
      </c>
      <c r="X38" s="24">
        <f>IF(AND($H38&lt;='Sales, COGS, Sales Team'!X$13,$I38&gt;='Sales, COGS, Sales Team'!X$13),$G38,0)</f>
        <v>416.66666666666669</v>
      </c>
      <c r="Y38" s="24">
        <f>IF(AND($H38&lt;='Sales, COGS, Sales Team'!Y$13,$I38&gt;='Sales, COGS, Sales Team'!Y$13),$G38,0)</f>
        <v>416.66666666666669</v>
      </c>
      <c r="Z38" s="24">
        <f>IF(AND($H38&lt;='Sales, COGS, Sales Team'!Z$13,$I38&gt;='Sales, COGS, Sales Team'!Z$13),$G38,0)</f>
        <v>416.66666666666669</v>
      </c>
      <c r="AA38" s="24">
        <f>IF(AND($H38&lt;='Sales, COGS, Sales Team'!AA$13,$I38&gt;='Sales, COGS, Sales Team'!AA$13),$G38,0)</f>
        <v>416.66666666666669</v>
      </c>
      <c r="AB38" s="24">
        <f>IF(AND($H38&lt;='Sales, COGS, Sales Team'!AB$13,$I38&gt;='Sales, COGS, Sales Team'!AB$13),$G38,0)</f>
        <v>416.66666666666669</v>
      </c>
      <c r="AC38" s="24">
        <f>IF(AND($H38&lt;='Sales, COGS, Sales Team'!AC$13,$I38&gt;='Sales, COGS, Sales Team'!AC$13),$G38,0)</f>
        <v>416.66666666666669</v>
      </c>
      <c r="AD38" s="24">
        <f>IF(AND($H38&lt;='Sales, COGS, Sales Team'!AD$13,$I38&gt;='Sales, COGS, Sales Team'!AD$13),$G38,0)</f>
        <v>416.66666666666669</v>
      </c>
      <c r="AE38" s="24">
        <f>IF(AND($H38&lt;='Sales, COGS, Sales Team'!AE$13,$I38&gt;='Sales, COGS, Sales Team'!AE$13),$G38,0)</f>
        <v>416.66666666666669</v>
      </c>
      <c r="AF38" s="24">
        <f>IF(AND($H38&lt;='Sales, COGS, Sales Team'!AF$13,$I38&gt;='Sales, COGS, Sales Team'!AF$13),$G38,0)</f>
        <v>416.66666666666669</v>
      </c>
      <c r="AG38" s="24">
        <f>IF(AND($H38&lt;='Sales, COGS, Sales Team'!AG$13,$I38&gt;='Sales, COGS, Sales Team'!AG$13),$G38,0)</f>
        <v>416.66666666666669</v>
      </c>
      <c r="AH38" s="24">
        <f>IF(AND($H38&lt;='Sales, COGS, Sales Team'!AH$13,$I38&gt;='Sales, COGS, Sales Team'!AH$13),$G38,0)</f>
        <v>416.66666666666669</v>
      </c>
      <c r="AI38" s="24">
        <f>IF(AND($H38&lt;='Sales, COGS, Sales Team'!AI$13,$I38&gt;='Sales, COGS, Sales Team'!AI$13),$G38,0)</f>
        <v>416.66666666666669</v>
      </c>
      <c r="AJ38" s="24">
        <f>IF(AND($H38&lt;='Sales, COGS, Sales Team'!AJ$13,$I38&gt;='Sales, COGS, Sales Team'!AJ$13),$G38,0)</f>
        <v>416.66666666666669</v>
      </c>
      <c r="AK38" s="24">
        <f>IF(AND($H38&lt;='Sales, COGS, Sales Team'!AK$13,$I38&gt;='Sales, COGS, Sales Team'!AK$13),$G38,0)</f>
        <v>416.66666666666669</v>
      </c>
      <c r="AL38" s="24">
        <f>IF(AND($H38&lt;='Sales, COGS, Sales Team'!AL$13,$I38&gt;='Sales, COGS, Sales Team'!AL$13),$G38,0)</f>
        <v>416.66666666666669</v>
      </c>
      <c r="AM38" s="24">
        <f>IF(AND($H38&lt;='Sales, COGS, Sales Team'!AM$13,$I38&gt;='Sales, COGS, Sales Team'!AM$13),$G38,0)</f>
        <v>416.66666666666669</v>
      </c>
      <c r="AN38" s="24">
        <f>IF(AND($H38&lt;='Sales, COGS, Sales Team'!AN$13,$I38&gt;='Sales, COGS, Sales Team'!AN$13),$G38,0)</f>
        <v>416.66666666666669</v>
      </c>
      <c r="AO38" s="24">
        <f>IF(AND($H38&lt;='Sales, COGS, Sales Team'!AO$13,$I38&gt;='Sales, COGS, Sales Team'!AO$13),$G38,0)</f>
        <v>416.66666666666669</v>
      </c>
      <c r="AP38" s="24">
        <f>IF(AND($H38&lt;='Sales, COGS, Sales Team'!AP$13,$I38&gt;='Sales, COGS, Sales Team'!AP$13),$G38,0)</f>
        <v>416.66666666666669</v>
      </c>
      <c r="AQ38" s="24">
        <f>IF(AND($H38&lt;='Sales, COGS, Sales Team'!AQ$13,$I38&gt;='Sales, COGS, Sales Team'!AQ$13),$G38,0)</f>
        <v>416.66666666666669</v>
      </c>
      <c r="AR38" s="24">
        <f>IF(AND($H38&lt;='Sales, COGS, Sales Team'!AR$13,$I38&gt;='Sales, COGS, Sales Team'!AR$13),$G38,0)</f>
        <v>416.66666666666669</v>
      </c>
      <c r="AS38" s="24">
        <f>IF(AND($H38&lt;='Sales, COGS, Sales Team'!AS$13,$I38&gt;='Sales, COGS, Sales Team'!AS$13),$G38,0)</f>
        <v>416.66666666666669</v>
      </c>
      <c r="AT38" s="24">
        <f>IF(AND($H38&lt;='Sales, COGS, Sales Team'!AT$13,$I38&gt;='Sales, COGS, Sales Team'!AT$13),$G38,0)</f>
        <v>416.66666666666669</v>
      </c>
      <c r="AU38" s="24">
        <f>IF(AND($H38&lt;='Sales, COGS, Sales Team'!AU$13,$I38&gt;='Sales, COGS, Sales Team'!AU$13),$G38,0)</f>
        <v>416.66666666666669</v>
      </c>
      <c r="AW38" s="86">
        <f t="shared" ref="AW38:BD40" si="40">SUMIFS($L38:$AU38,$L$11:$AU$11,"&gt;"&amp;AV$11,$L$11:$AU$11,"&lt;="&amp;AW$11)</f>
        <v>1250</v>
      </c>
      <c r="AX38" s="86">
        <f t="shared" si="40"/>
        <v>1250</v>
      </c>
      <c r="AY38" s="86">
        <f t="shared" si="40"/>
        <v>1250</v>
      </c>
      <c r="AZ38" s="86">
        <f t="shared" si="40"/>
        <v>1250</v>
      </c>
      <c r="BA38" s="86">
        <f t="shared" si="40"/>
        <v>1250</v>
      </c>
      <c r="BB38" s="86">
        <f t="shared" si="40"/>
        <v>1250</v>
      </c>
      <c r="BC38" s="86">
        <f t="shared" si="40"/>
        <v>1250</v>
      </c>
      <c r="BD38" s="86">
        <f t="shared" si="40"/>
        <v>1250</v>
      </c>
      <c r="BF38" s="24">
        <f t="shared" ref="BF38:BG38" si="41">SUMIFS($AW38:$BD38,$AW$11:$BD$11,"&gt;"&amp;BE$11,$AW$11:$BD$11,"&lt;="&amp;BF$11)</f>
        <v>5000</v>
      </c>
      <c r="BG38" s="24">
        <f t="shared" si="41"/>
        <v>5000</v>
      </c>
      <c r="BH38" s="24"/>
      <c r="BI38" s="24"/>
      <c r="BJ38" s="24"/>
    </row>
    <row r="39" spans="2:63" hidden="1" outlineLevel="1" x14ac:dyDescent="0.2">
      <c r="C39" s="23"/>
    </row>
    <row r="40" spans="2:63" hidden="1" outlineLevel="1" x14ac:dyDescent="0.2">
      <c r="C40" s="78" t="s">
        <v>36</v>
      </c>
      <c r="F40" s="31">
        <f>G40*12</f>
        <v>60000</v>
      </c>
      <c r="G40" s="40">
        <v>5000</v>
      </c>
      <c r="H40" s="34">
        <v>45199</v>
      </c>
      <c r="I40" s="34">
        <v>46022</v>
      </c>
      <c r="J40" s="34"/>
      <c r="L40" s="24">
        <f>IF(AND($H40&lt;='Sales, COGS, Sales Team'!L$13,$I40&gt;='Sales, COGS, Sales Team'!L$13),$G40,0)</f>
        <v>0</v>
      </c>
      <c r="M40" s="24">
        <f>IF(AND($H40&lt;='Sales, COGS, Sales Team'!M$13,$I40&gt;='Sales, COGS, Sales Team'!M$13),$G40,0)</f>
        <v>0</v>
      </c>
      <c r="N40" s="24">
        <f>IF(AND($H40&lt;='Sales, COGS, Sales Team'!N$13,$I40&gt;='Sales, COGS, Sales Team'!N$13),$G40,0)</f>
        <v>0</v>
      </c>
      <c r="O40" s="24">
        <f>IF(AND($H40&lt;='Sales, COGS, Sales Team'!O$13,$I40&gt;='Sales, COGS, Sales Team'!O$13),$G40,0)</f>
        <v>0</v>
      </c>
      <c r="P40" s="24">
        <f>IF(AND($H40&lt;='Sales, COGS, Sales Team'!P$13,$I40&gt;='Sales, COGS, Sales Team'!P$13),$G40,0)</f>
        <v>0</v>
      </c>
      <c r="Q40" s="24">
        <f>IF(AND($H40&lt;='Sales, COGS, Sales Team'!Q$13,$I40&gt;='Sales, COGS, Sales Team'!Q$13),$G40,0)</f>
        <v>0</v>
      </c>
      <c r="R40" s="24">
        <f>IF(AND($H40&lt;='Sales, COGS, Sales Team'!R$13,$I40&gt;='Sales, COGS, Sales Team'!R$13),$G40,0)</f>
        <v>0</v>
      </c>
      <c r="S40" s="24">
        <f>IF(AND($H40&lt;='Sales, COGS, Sales Team'!S$13,$I40&gt;='Sales, COGS, Sales Team'!S$13),$G40,0)</f>
        <v>0</v>
      </c>
      <c r="T40" s="24">
        <f>IF(AND($H40&lt;='Sales, COGS, Sales Team'!T$13,$I40&gt;='Sales, COGS, Sales Team'!T$13),$G40,0)</f>
        <v>5000</v>
      </c>
      <c r="U40" s="24">
        <f>IF(AND($H40&lt;='Sales, COGS, Sales Team'!U$13,$I40&gt;='Sales, COGS, Sales Team'!U$13),$G40,0)</f>
        <v>5000</v>
      </c>
      <c r="V40" s="24">
        <f>IF(AND($H40&lt;='Sales, COGS, Sales Team'!V$13,$I40&gt;='Sales, COGS, Sales Team'!V$13),$G40,0)</f>
        <v>5000</v>
      </c>
      <c r="W40" s="24">
        <f>IF(AND($H40&lt;='Sales, COGS, Sales Team'!W$13,$I40&gt;='Sales, COGS, Sales Team'!W$13),$G40,0)</f>
        <v>5000</v>
      </c>
      <c r="X40" s="24">
        <f>IF(AND($H40&lt;='Sales, COGS, Sales Team'!X$13,$I40&gt;='Sales, COGS, Sales Team'!X$13),$G40,0)</f>
        <v>5000</v>
      </c>
      <c r="Y40" s="24">
        <f>IF(AND($H40&lt;='Sales, COGS, Sales Team'!Y$13,$I40&gt;='Sales, COGS, Sales Team'!Y$13),$G40,0)</f>
        <v>5000</v>
      </c>
      <c r="Z40" s="24">
        <f>IF(AND($H40&lt;='Sales, COGS, Sales Team'!Z$13,$I40&gt;='Sales, COGS, Sales Team'!Z$13),$G40,0)</f>
        <v>5000</v>
      </c>
      <c r="AA40" s="24">
        <f>IF(AND($H40&lt;='Sales, COGS, Sales Team'!AA$13,$I40&gt;='Sales, COGS, Sales Team'!AA$13),$G40,0)</f>
        <v>5000</v>
      </c>
      <c r="AB40" s="24">
        <f>IF(AND($H40&lt;='Sales, COGS, Sales Team'!AB$13,$I40&gt;='Sales, COGS, Sales Team'!AB$13),$G40,0)</f>
        <v>5000</v>
      </c>
      <c r="AC40" s="24">
        <f>IF(AND($H40&lt;='Sales, COGS, Sales Team'!AC$13,$I40&gt;='Sales, COGS, Sales Team'!AC$13),$G40,0)</f>
        <v>5000</v>
      </c>
      <c r="AD40" s="24">
        <f>IF(AND($H40&lt;='Sales, COGS, Sales Team'!AD$13,$I40&gt;='Sales, COGS, Sales Team'!AD$13),$G40,0)</f>
        <v>5000</v>
      </c>
      <c r="AE40" s="24">
        <f>IF(AND($H40&lt;='Sales, COGS, Sales Team'!AE$13,$I40&gt;='Sales, COGS, Sales Team'!AE$13),$G40,0)</f>
        <v>5000</v>
      </c>
      <c r="AF40" s="24">
        <f>IF(AND($H40&lt;='Sales, COGS, Sales Team'!AF$13,$I40&gt;='Sales, COGS, Sales Team'!AF$13),$G40,0)</f>
        <v>5000</v>
      </c>
      <c r="AG40" s="24">
        <f>IF(AND($H40&lt;='Sales, COGS, Sales Team'!AG$13,$I40&gt;='Sales, COGS, Sales Team'!AG$13),$G40,0)</f>
        <v>5000</v>
      </c>
      <c r="AH40" s="24">
        <f>IF(AND($H40&lt;='Sales, COGS, Sales Team'!AH$13,$I40&gt;='Sales, COGS, Sales Team'!AH$13),$G40,0)</f>
        <v>5000</v>
      </c>
      <c r="AI40" s="24">
        <f>IF(AND($H40&lt;='Sales, COGS, Sales Team'!AI$13,$I40&gt;='Sales, COGS, Sales Team'!AI$13),$G40,0)</f>
        <v>5000</v>
      </c>
      <c r="AJ40" s="24">
        <f>IF(AND($H40&lt;='Sales, COGS, Sales Team'!AJ$13,$I40&gt;='Sales, COGS, Sales Team'!AJ$13),$G40*(1+$G$44),0)</f>
        <v>5750</v>
      </c>
      <c r="AK40" s="24">
        <f>IF(AND($H40&lt;='Sales, COGS, Sales Team'!AK$13,$I40&gt;='Sales, COGS, Sales Team'!AK$13),$G40*(1+$G$44),0)</f>
        <v>5750</v>
      </c>
      <c r="AL40" s="24">
        <f>IF(AND($H40&lt;='Sales, COGS, Sales Team'!AL$13,$I40&gt;='Sales, COGS, Sales Team'!AL$13),$G40*(1+$G$44),0)</f>
        <v>5750</v>
      </c>
      <c r="AM40" s="24">
        <f>IF(AND($H40&lt;='Sales, COGS, Sales Team'!AM$13,$I40&gt;='Sales, COGS, Sales Team'!AM$13),$G40*(1+$G$44),0)</f>
        <v>5750</v>
      </c>
      <c r="AN40" s="24">
        <f>IF(AND($H40&lt;='Sales, COGS, Sales Team'!AN$13,$I40&gt;='Sales, COGS, Sales Team'!AN$13),$G40*(1+$G$44),0)</f>
        <v>5750</v>
      </c>
      <c r="AO40" s="24">
        <f>IF(AND($H40&lt;='Sales, COGS, Sales Team'!AO$13,$I40&gt;='Sales, COGS, Sales Team'!AO$13),$G40*(1+$G$44),0)</f>
        <v>5750</v>
      </c>
      <c r="AP40" s="24">
        <f>IF(AND($H40&lt;='Sales, COGS, Sales Team'!AP$13,$I40&gt;='Sales, COGS, Sales Team'!AP$13),$G40*(1+$G$44),0)</f>
        <v>5750</v>
      </c>
      <c r="AQ40" s="24">
        <f>IF(AND($H40&lt;='Sales, COGS, Sales Team'!AQ$13,$I40&gt;='Sales, COGS, Sales Team'!AQ$13),$G40*(1+$G$44),0)</f>
        <v>5750</v>
      </c>
      <c r="AR40" s="24">
        <f>IF(AND($H40&lt;='Sales, COGS, Sales Team'!AR$13,$I40&gt;='Sales, COGS, Sales Team'!AR$13),$G40*(1+$G$44),0)</f>
        <v>5750</v>
      </c>
      <c r="AS40" s="24">
        <f>IF(AND($H40&lt;='Sales, COGS, Sales Team'!AS$13,$I40&gt;='Sales, COGS, Sales Team'!AS$13),$G40*(1+$G$44),0)</f>
        <v>5750</v>
      </c>
      <c r="AT40" s="24">
        <f>IF(AND($H40&lt;='Sales, COGS, Sales Team'!AT$13,$I40&gt;='Sales, COGS, Sales Team'!AT$13),$G40*(1+$G$44),0)</f>
        <v>5750</v>
      </c>
      <c r="AU40" s="24">
        <f>IF(AND($H40&lt;='Sales, COGS, Sales Team'!AU$13,$I40&gt;='Sales, COGS, Sales Team'!AU$13),$G40*(1+$G$44),0)</f>
        <v>5750</v>
      </c>
      <c r="AW40" s="86">
        <f t="shared" si="40"/>
        <v>15000</v>
      </c>
      <c r="AX40" s="86">
        <f t="shared" si="40"/>
        <v>15000</v>
      </c>
      <c r="AY40" s="86">
        <f t="shared" si="40"/>
        <v>15000</v>
      </c>
      <c r="AZ40" s="86">
        <f t="shared" si="40"/>
        <v>15000</v>
      </c>
      <c r="BA40" s="86">
        <f t="shared" si="40"/>
        <v>17250</v>
      </c>
      <c r="BB40" s="86">
        <f t="shared" si="40"/>
        <v>17250</v>
      </c>
      <c r="BC40" s="86">
        <f t="shared" si="40"/>
        <v>17250</v>
      </c>
      <c r="BD40" s="86">
        <f t="shared" si="40"/>
        <v>17250</v>
      </c>
      <c r="BF40" s="24">
        <f t="shared" ref="BF40:BG40" si="42">SUMIFS($AW40:$BD40,$AW$11:$BD$11,"&gt;"&amp;BE$11,$AW$11:$BD$11,"&lt;="&amp;BF$11)</f>
        <v>60000</v>
      </c>
      <c r="BG40" s="24">
        <f t="shared" si="42"/>
        <v>69000</v>
      </c>
      <c r="BH40" s="24"/>
      <c r="BI40" s="24"/>
      <c r="BJ40" s="24"/>
    </row>
    <row r="41" spans="2:63" hidden="1" outlineLevel="1" x14ac:dyDescent="0.2">
      <c r="C41" s="78" t="s">
        <v>37</v>
      </c>
      <c r="F41" s="40">
        <v>10183.333333333332</v>
      </c>
      <c r="G41" s="31">
        <f>F41/12</f>
        <v>848.61111111111097</v>
      </c>
      <c r="H41" s="34">
        <v>45322</v>
      </c>
      <c r="I41" s="34">
        <v>45657</v>
      </c>
      <c r="J41" s="34"/>
      <c r="L41" s="24">
        <f>IF(AND($H41&lt;='Sales, COGS, Sales Team'!L$13,$I41&gt;='Sales, COGS, Sales Team'!L$13),$G41,0)</f>
        <v>0</v>
      </c>
      <c r="M41" s="24">
        <f>IF(AND($H41&lt;='Sales, COGS, Sales Team'!M$13,$I41&gt;='Sales, COGS, Sales Team'!M$13),$G41,0)</f>
        <v>0</v>
      </c>
      <c r="N41" s="24">
        <f>IF(AND($H41&lt;='Sales, COGS, Sales Team'!N$13,$I41&gt;='Sales, COGS, Sales Team'!N$13),$G41,0)</f>
        <v>0</v>
      </c>
      <c r="O41" s="24">
        <f>IF(AND($H41&lt;='Sales, COGS, Sales Team'!O$13,$I41&gt;='Sales, COGS, Sales Team'!O$13),$G41,0)</f>
        <v>0</v>
      </c>
      <c r="P41" s="24">
        <f>IF(AND($H41&lt;='Sales, COGS, Sales Team'!P$13,$I41&gt;='Sales, COGS, Sales Team'!P$13),$G41,0)</f>
        <v>0</v>
      </c>
      <c r="Q41" s="24">
        <f>IF(AND($H41&lt;='Sales, COGS, Sales Team'!Q$13,$I41&gt;='Sales, COGS, Sales Team'!Q$13),$G41,0)</f>
        <v>0</v>
      </c>
      <c r="R41" s="24">
        <f>IF(AND($H41&lt;='Sales, COGS, Sales Team'!R$13,$I41&gt;='Sales, COGS, Sales Team'!R$13),$G41,0)</f>
        <v>0</v>
      </c>
      <c r="S41" s="24">
        <f>IF(AND($H41&lt;='Sales, COGS, Sales Team'!S$13,$I41&gt;='Sales, COGS, Sales Team'!S$13),$G41,0)</f>
        <v>0</v>
      </c>
      <c r="T41" s="24">
        <f>IF(AND($H41&lt;='Sales, COGS, Sales Team'!T$13,$I41&gt;='Sales, COGS, Sales Team'!T$13),$G41,0)</f>
        <v>0</v>
      </c>
      <c r="U41" s="24">
        <f>IF(AND($H41&lt;='Sales, COGS, Sales Team'!U$13,$I41&gt;='Sales, COGS, Sales Team'!U$13),$G41,0)</f>
        <v>0</v>
      </c>
      <c r="V41" s="24">
        <f>IF(AND($H41&lt;='Sales, COGS, Sales Team'!V$13,$I41&gt;='Sales, COGS, Sales Team'!V$13),$G41,0)</f>
        <v>0</v>
      </c>
      <c r="W41" s="24">
        <f>IF(AND($H41&lt;='Sales, COGS, Sales Team'!W$13,$I41&gt;='Sales, COGS, Sales Team'!W$13),$G41,0)</f>
        <v>0</v>
      </c>
      <c r="X41" s="24">
        <f>IF(AND($H41&lt;='Sales, COGS, Sales Team'!X$13,$I41&gt;='Sales, COGS, Sales Team'!X$13),$G41,0)</f>
        <v>848.61111111111097</v>
      </c>
      <c r="Y41" s="24">
        <f>IF(AND($H41&lt;='Sales, COGS, Sales Team'!Y$13,$I41&gt;='Sales, COGS, Sales Team'!Y$13),$G41,0)</f>
        <v>848.61111111111097</v>
      </c>
      <c r="Z41" s="24">
        <f>IF(AND($H41&lt;='Sales, COGS, Sales Team'!Z$13,$I41&gt;='Sales, COGS, Sales Team'!Z$13),$G41,0)</f>
        <v>848.61111111111097</v>
      </c>
      <c r="AA41" s="24">
        <f>IF(AND($H41&lt;='Sales, COGS, Sales Team'!AA$13,$I41&gt;='Sales, COGS, Sales Team'!AA$13),$G41,0)</f>
        <v>848.61111111111097</v>
      </c>
      <c r="AB41" s="24">
        <f>IF(AND($H41&lt;='Sales, COGS, Sales Team'!AB$13,$I41&gt;='Sales, COGS, Sales Team'!AB$13),$G41,0)</f>
        <v>848.61111111111097</v>
      </c>
      <c r="AC41" s="24">
        <f>IF(AND($H41&lt;='Sales, COGS, Sales Team'!AC$13,$I41&gt;='Sales, COGS, Sales Team'!AC$13),$G41,0)</f>
        <v>848.61111111111097</v>
      </c>
      <c r="AD41" s="24">
        <f>IF(AND($H41&lt;='Sales, COGS, Sales Team'!AD$13,$I41&gt;='Sales, COGS, Sales Team'!AD$13),$G41,0)</f>
        <v>848.61111111111097</v>
      </c>
      <c r="AE41" s="24">
        <f>IF(AND($H41&lt;='Sales, COGS, Sales Team'!AE$13,$I41&gt;='Sales, COGS, Sales Team'!AE$13),$G41,0)</f>
        <v>848.61111111111097</v>
      </c>
      <c r="AF41" s="24">
        <f>IF(AND($H41&lt;='Sales, COGS, Sales Team'!AF$13,$I41&gt;='Sales, COGS, Sales Team'!AF$13),$G41,0)</f>
        <v>848.61111111111097</v>
      </c>
      <c r="AG41" s="24">
        <f>IF(AND($H41&lt;='Sales, COGS, Sales Team'!AG$13,$I41&gt;='Sales, COGS, Sales Team'!AG$13),$G41,0)</f>
        <v>848.61111111111097</v>
      </c>
      <c r="AH41" s="24">
        <f>IF(AND($H41&lt;='Sales, COGS, Sales Team'!AH$13,$I41&gt;='Sales, COGS, Sales Team'!AH$13),$G41,0)</f>
        <v>848.61111111111097</v>
      </c>
      <c r="AI41" s="24">
        <f>IF(AND($H41&lt;='Sales, COGS, Sales Team'!AI$13,$I41&gt;='Sales, COGS, Sales Team'!AI$13),$G41,0)</f>
        <v>848.61111111111097</v>
      </c>
      <c r="AJ41" s="24">
        <f>IF(AND($H41&lt;='Sales, COGS, Sales Team'!AJ$13,$I41&gt;='Sales, COGS, Sales Team'!AJ$13),$G41*(1+$G$44),0)</f>
        <v>0</v>
      </c>
      <c r="AK41" s="24">
        <f>IF(AND($H41&lt;='Sales, COGS, Sales Team'!AK$13,$I41&gt;='Sales, COGS, Sales Team'!AK$13),$G41*(1+$G$44),0)</f>
        <v>0</v>
      </c>
      <c r="AL41" s="24">
        <f>IF(AND($H41&lt;='Sales, COGS, Sales Team'!AL$13,$I41&gt;='Sales, COGS, Sales Team'!AL$13),$G41*(1+$G$44),0)</f>
        <v>0</v>
      </c>
      <c r="AM41" s="24">
        <f>IF(AND($H41&lt;='Sales, COGS, Sales Team'!AM$13,$I41&gt;='Sales, COGS, Sales Team'!AM$13),$G41*(1+$G$44),0)</f>
        <v>0</v>
      </c>
      <c r="AN41" s="24">
        <f>IF(AND($H41&lt;='Sales, COGS, Sales Team'!AN$13,$I41&gt;='Sales, COGS, Sales Team'!AN$13),$G41*(1+$G$44),0)</f>
        <v>0</v>
      </c>
      <c r="AO41" s="24">
        <f>IF(AND($H41&lt;='Sales, COGS, Sales Team'!AO$13,$I41&gt;='Sales, COGS, Sales Team'!AO$13),$G41*(1+$G$44),0)</f>
        <v>0</v>
      </c>
      <c r="AP41" s="24">
        <f>IF(AND($H41&lt;='Sales, COGS, Sales Team'!AP$13,$I41&gt;='Sales, COGS, Sales Team'!AP$13),$G41*(1+$G$44),0)</f>
        <v>0</v>
      </c>
      <c r="AQ41" s="24">
        <f>IF(AND($H41&lt;='Sales, COGS, Sales Team'!AQ$13,$I41&gt;='Sales, COGS, Sales Team'!AQ$13),$G41*(1+$G$44),0)</f>
        <v>0</v>
      </c>
      <c r="AR41" s="24">
        <f>IF(AND($H41&lt;='Sales, COGS, Sales Team'!AR$13,$I41&gt;='Sales, COGS, Sales Team'!AR$13),$G41*(1+$G$44),0)</f>
        <v>0</v>
      </c>
      <c r="AS41" s="24">
        <f>IF(AND($H41&lt;='Sales, COGS, Sales Team'!AS$13,$I41&gt;='Sales, COGS, Sales Team'!AS$13),$G41*(1+$G$44),0)</f>
        <v>0</v>
      </c>
      <c r="AT41" s="24">
        <f>IF(AND($H41&lt;='Sales, COGS, Sales Team'!AT$13,$I41&gt;='Sales, COGS, Sales Team'!AT$13),$G41*(1+$G$44),0)</f>
        <v>0</v>
      </c>
      <c r="AU41" s="24">
        <f>IF(AND($H41&lt;='Sales, COGS, Sales Team'!AU$13,$I41&gt;='Sales, COGS, Sales Team'!AU$13),$G41*(1+$G$44),0)</f>
        <v>0</v>
      </c>
      <c r="AW41" s="86">
        <f t="shared" ref="AW41:BD41" si="43">SUMIFS($L41:$AU41,$L$11:$AU$11,"&gt;"&amp;AV$11,$L$11:$AU$11,"&lt;="&amp;AW$11)</f>
        <v>2545.833333333333</v>
      </c>
      <c r="AX41" s="86">
        <f t="shared" si="43"/>
        <v>2545.833333333333</v>
      </c>
      <c r="AY41" s="86">
        <f t="shared" si="43"/>
        <v>2545.833333333333</v>
      </c>
      <c r="AZ41" s="86">
        <f t="shared" si="43"/>
        <v>2545.833333333333</v>
      </c>
      <c r="BA41" s="86">
        <f t="shared" si="43"/>
        <v>0</v>
      </c>
      <c r="BB41" s="86">
        <f t="shared" si="43"/>
        <v>0</v>
      </c>
      <c r="BC41" s="86">
        <f t="shared" si="43"/>
        <v>0</v>
      </c>
      <c r="BD41" s="86">
        <f t="shared" si="43"/>
        <v>0</v>
      </c>
      <c r="BF41" s="24">
        <f t="shared" ref="BF41:BG41" si="44">SUMIFS($AW41:$BD41,$AW$11:$BD$11,"&gt;"&amp;BE$11,$AW$11:$BD$11,"&lt;="&amp;BF$11)</f>
        <v>10183.333333333332</v>
      </c>
      <c r="BG41" s="24">
        <f t="shared" si="44"/>
        <v>0</v>
      </c>
      <c r="BH41" s="24"/>
      <c r="BI41" s="24"/>
      <c r="BJ41" s="24"/>
    </row>
    <row r="42" spans="2:63" hidden="1" outlineLevel="1" x14ac:dyDescent="0.2">
      <c r="C42" s="78" t="s">
        <v>38</v>
      </c>
      <c r="F42" s="40">
        <v>2000</v>
      </c>
      <c r="G42" s="31">
        <f>F42/12</f>
        <v>166.66666666666666</v>
      </c>
      <c r="H42" s="34">
        <v>45199</v>
      </c>
      <c r="I42" s="34">
        <v>45199</v>
      </c>
      <c r="J42" s="34"/>
      <c r="L42" s="24">
        <f>IF(AND($H42&lt;='Sales, COGS, Sales Team'!L$13,$I42&gt;='Sales, COGS, Sales Team'!L$13),$G42,0)</f>
        <v>0</v>
      </c>
      <c r="M42" s="24">
        <f>IF(AND($H42&lt;='Sales, COGS, Sales Team'!M$13,$I42&gt;='Sales, COGS, Sales Team'!M$13),$G42,0)</f>
        <v>0</v>
      </c>
      <c r="N42" s="24">
        <f>IF(AND($H42&lt;='Sales, COGS, Sales Team'!N$13,$I42&gt;='Sales, COGS, Sales Team'!N$13),$G42,0)</f>
        <v>0</v>
      </c>
      <c r="O42" s="24">
        <f>IF(AND($H42&lt;='Sales, COGS, Sales Team'!O$13,$I42&gt;='Sales, COGS, Sales Team'!O$13),$G42,0)</f>
        <v>0</v>
      </c>
      <c r="P42" s="24">
        <f>IF(AND($H42&lt;='Sales, COGS, Sales Team'!P$13,$I42&gt;='Sales, COGS, Sales Team'!P$13),$G42,0)</f>
        <v>0</v>
      </c>
      <c r="Q42" s="24">
        <f>IF(AND($H42&lt;='Sales, COGS, Sales Team'!Q$13,$I42&gt;='Sales, COGS, Sales Team'!Q$13),$G42,0)</f>
        <v>0</v>
      </c>
      <c r="R42" s="24">
        <f>IF(AND($H42&lt;='Sales, COGS, Sales Team'!R$13,$I42&gt;='Sales, COGS, Sales Team'!R$13),$G42,0)</f>
        <v>0</v>
      </c>
      <c r="S42" s="24">
        <f>IF(AND($H42&lt;='Sales, COGS, Sales Team'!S$13,$I42&gt;='Sales, COGS, Sales Team'!S$13),$G42,0)</f>
        <v>0</v>
      </c>
      <c r="T42" s="24">
        <f>IF(AND($H42&lt;='Sales, COGS, Sales Team'!T$13,$I42&gt;='Sales, COGS, Sales Team'!T$13),$G42,0)</f>
        <v>166.66666666666666</v>
      </c>
      <c r="U42" s="24">
        <f>IF(AND($H42&lt;='Sales, COGS, Sales Team'!U$13,$I42&gt;='Sales, COGS, Sales Team'!U$13),$G42,0)</f>
        <v>0</v>
      </c>
      <c r="V42" s="24">
        <f>IF(AND($H42&lt;='Sales, COGS, Sales Team'!V$13,$I42&gt;='Sales, COGS, Sales Team'!V$13),$G42,0)</f>
        <v>0</v>
      </c>
      <c r="W42" s="24">
        <f>IF(AND($H42&lt;='Sales, COGS, Sales Team'!W$13,$I42&gt;='Sales, COGS, Sales Team'!W$13),$G42,0)</f>
        <v>0</v>
      </c>
      <c r="X42" s="24">
        <f>IF(AND($H42&lt;='Sales, COGS, Sales Team'!X$13,$I42&gt;='Sales, COGS, Sales Team'!X$13),$G42,0)</f>
        <v>0</v>
      </c>
      <c r="Y42" s="24">
        <f>IF(AND($H42&lt;='Sales, COGS, Sales Team'!Y$13,$I42&gt;='Sales, COGS, Sales Team'!Y$13),$G42,0)</f>
        <v>0</v>
      </c>
      <c r="Z42" s="24">
        <f>IF(AND($H42&lt;='Sales, COGS, Sales Team'!Z$13,$I42&gt;='Sales, COGS, Sales Team'!Z$13),$G42,0)</f>
        <v>0</v>
      </c>
      <c r="AA42" s="24">
        <f>IF(AND($H42&lt;='Sales, COGS, Sales Team'!AA$13,$I42&gt;='Sales, COGS, Sales Team'!AA$13),$G42,0)</f>
        <v>0</v>
      </c>
      <c r="AB42" s="24">
        <f>IF(AND($H42&lt;='Sales, COGS, Sales Team'!AB$13,$I42&gt;='Sales, COGS, Sales Team'!AB$13),$G42,0)</f>
        <v>0</v>
      </c>
      <c r="AC42" s="24">
        <f>IF(AND($H42&lt;='Sales, COGS, Sales Team'!AC$13,$I42&gt;='Sales, COGS, Sales Team'!AC$13),$G42,0)</f>
        <v>0</v>
      </c>
      <c r="AD42" s="24">
        <f>IF(AND($H42&lt;='Sales, COGS, Sales Team'!AD$13,$I42&gt;='Sales, COGS, Sales Team'!AD$13),$G42,0)</f>
        <v>0</v>
      </c>
      <c r="AE42" s="24">
        <f>IF(AND($H42&lt;='Sales, COGS, Sales Team'!AE$13,$I42&gt;='Sales, COGS, Sales Team'!AE$13),$G42,0)</f>
        <v>0</v>
      </c>
      <c r="AF42" s="24">
        <f>IF(AND($H42&lt;='Sales, COGS, Sales Team'!AF$13,$I42&gt;='Sales, COGS, Sales Team'!AF$13),$G42,0)</f>
        <v>0</v>
      </c>
      <c r="AG42" s="24">
        <f>IF(AND($H42&lt;='Sales, COGS, Sales Team'!AG$13,$I42&gt;='Sales, COGS, Sales Team'!AG$13),$G42,0)</f>
        <v>0</v>
      </c>
      <c r="AH42" s="24">
        <f>IF(AND($H42&lt;='Sales, COGS, Sales Team'!AH$13,$I42&gt;='Sales, COGS, Sales Team'!AH$13),$G42,0)</f>
        <v>0</v>
      </c>
      <c r="AI42" s="24">
        <f>IF(AND($H42&lt;='Sales, COGS, Sales Team'!AI$13,$I42&gt;='Sales, COGS, Sales Team'!AI$13),$G42,0)</f>
        <v>0</v>
      </c>
      <c r="AJ42" s="24">
        <f>IF(AND($H42&lt;='Sales, COGS, Sales Team'!AJ$13,$I42&gt;='Sales, COGS, Sales Team'!AJ$13),$G42*(1+$G$44),0)</f>
        <v>0</v>
      </c>
      <c r="AK42" s="24">
        <f>IF(AND($H42&lt;='Sales, COGS, Sales Team'!AK$13,$I42&gt;='Sales, COGS, Sales Team'!AK$13),$G42*(1+$G$44),0)</f>
        <v>0</v>
      </c>
      <c r="AL42" s="24">
        <f>IF(AND($H42&lt;='Sales, COGS, Sales Team'!AL$13,$I42&gt;='Sales, COGS, Sales Team'!AL$13),$G42*(1+$G$44),0)</f>
        <v>0</v>
      </c>
      <c r="AM42" s="24">
        <f>IF(AND($H42&lt;='Sales, COGS, Sales Team'!AM$13,$I42&gt;='Sales, COGS, Sales Team'!AM$13),$G42*(1+$G$44),0)</f>
        <v>0</v>
      </c>
      <c r="AN42" s="24">
        <f>IF(AND($H42&lt;='Sales, COGS, Sales Team'!AN$13,$I42&gt;='Sales, COGS, Sales Team'!AN$13),$G42*(1+$G$44),0)</f>
        <v>0</v>
      </c>
      <c r="AO42" s="24">
        <f>IF(AND($H42&lt;='Sales, COGS, Sales Team'!AO$13,$I42&gt;='Sales, COGS, Sales Team'!AO$13),$G42*(1+$G$44),0)</f>
        <v>0</v>
      </c>
      <c r="AP42" s="24">
        <f>IF(AND($H42&lt;='Sales, COGS, Sales Team'!AP$13,$I42&gt;='Sales, COGS, Sales Team'!AP$13),$G42*(1+$G$44),0)</f>
        <v>0</v>
      </c>
      <c r="AQ42" s="24">
        <f>IF(AND($H42&lt;='Sales, COGS, Sales Team'!AQ$13,$I42&gt;='Sales, COGS, Sales Team'!AQ$13),$G42*(1+$G$44),0)</f>
        <v>0</v>
      </c>
      <c r="AR42" s="24">
        <f>IF(AND($H42&lt;='Sales, COGS, Sales Team'!AR$13,$I42&gt;='Sales, COGS, Sales Team'!AR$13),$G42*(1+$G$44),0)</f>
        <v>0</v>
      </c>
      <c r="AS42" s="24">
        <f>IF(AND($H42&lt;='Sales, COGS, Sales Team'!AS$13,$I42&gt;='Sales, COGS, Sales Team'!AS$13),$G42*(1+$G$44),0)</f>
        <v>0</v>
      </c>
      <c r="AT42" s="24">
        <f>IF(AND($H42&lt;='Sales, COGS, Sales Team'!AT$13,$I42&gt;='Sales, COGS, Sales Team'!AT$13),$G42*(1+$G$44),0)</f>
        <v>0</v>
      </c>
      <c r="AU42" s="24">
        <f>IF(AND($H42&lt;='Sales, COGS, Sales Team'!AU$13,$I42&gt;='Sales, COGS, Sales Team'!AU$13),$G42*(1+$G$44),0)</f>
        <v>0</v>
      </c>
      <c r="AW42" s="86">
        <f t="shared" ref="AW42:BD42" si="45">SUMIFS($L42:$AU42,$L$11:$AU$11,"&gt;"&amp;AV$11,$L$11:$AU$11,"&lt;="&amp;AW$11)</f>
        <v>0</v>
      </c>
      <c r="AX42" s="86">
        <f t="shared" si="45"/>
        <v>0</v>
      </c>
      <c r="AY42" s="86">
        <f t="shared" si="45"/>
        <v>0</v>
      </c>
      <c r="AZ42" s="86">
        <f t="shared" si="45"/>
        <v>0</v>
      </c>
      <c r="BA42" s="86">
        <f t="shared" si="45"/>
        <v>0</v>
      </c>
      <c r="BB42" s="86">
        <f t="shared" si="45"/>
        <v>0</v>
      </c>
      <c r="BC42" s="86">
        <f t="shared" si="45"/>
        <v>0</v>
      </c>
      <c r="BD42" s="86">
        <f t="shared" si="45"/>
        <v>0</v>
      </c>
      <c r="BF42" s="24">
        <f t="shared" ref="BF42:BG42" si="46">SUMIFS($AW42:$BD42,$AW$11:$BD$11,"&gt;"&amp;BE$11,$AW$11:$BD$11,"&lt;="&amp;BF$11)</f>
        <v>0</v>
      </c>
      <c r="BG42" s="24">
        <f t="shared" si="46"/>
        <v>0</v>
      </c>
      <c r="BH42" s="24"/>
      <c r="BI42" s="24"/>
      <c r="BJ42" s="24"/>
    </row>
    <row r="43" spans="2:63" hidden="1" outlineLevel="1" x14ac:dyDescent="0.2">
      <c r="C43" s="80" t="s">
        <v>39</v>
      </c>
      <c r="F43" s="40">
        <v>25000</v>
      </c>
      <c r="G43" s="31">
        <f>F43/12</f>
        <v>2083.3333333333335</v>
      </c>
      <c r="H43" s="34">
        <v>45291</v>
      </c>
      <c r="I43" s="34">
        <v>45291</v>
      </c>
      <c r="J43" s="34"/>
      <c r="L43" s="24">
        <f>IF(AND($H43&lt;='Sales, COGS, Sales Team'!L$13,$I43&gt;='Sales, COGS, Sales Team'!L$13),$G43,0)</f>
        <v>0</v>
      </c>
      <c r="M43" s="24">
        <f>IF(AND($H43&lt;='Sales, COGS, Sales Team'!M$13,$I43&gt;='Sales, COGS, Sales Team'!M$13),$G43,0)</f>
        <v>0</v>
      </c>
      <c r="N43" s="24">
        <f>IF(AND($H43&lt;='Sales, COGS, Sales Team'!N$13,$I43&gt;='Sales, COGS, Sales Team'!N$13),$G43,0)</f>
        <v>0</v>
      </c>
      <c r="O43" s="24">
        <f>IF(AND($H43&lt;='Sales, COGS, Sales Team'!O$13,$I43&gt;='Sales, COGS, Sales Team'!O$13),$G43,0)</f>
        <v>0</v>
      </c>
      <c r="P43" s="24">
        <f>IF(AND($H43&lt;='Sales, COGS, Sales Team'!P$13,$I43&gt;='Sales, COGS, Sales Team'!P$13),$G43,0)</f>
        <v>0</v>
      </c>
      <c r="Q43" s="24">
        <f>IF(AND($H43&lt;='Sales, COGS, Sales Team'!Q$13,$I43&gt;='Sales, COGS, Sales Team'!Q$13),$G43,0)</f>
        <v>0</v>
      </c>
      <c r="R43" s="24">
        <f>IF(AND($H43&lt;='Sales, COGS, Sales Team'!R$13,$I43&gt;='Sales, COGS, Sales Team'!R$13),$G43,0)</f>
        <v>0</v>
      </c>
      <c r="S43" s="24">
        <f>IF(AND($H43&lt;='Sales, COGS, Sales Team'!S$13,$I43&gt;='Sales, COGS, Sales Team'!S$13),$G43,0)</f>
        <v>0</v>
      </c>
      <c r="T43" s="24">
        <f>IF(AND($H43&lt;='Sales, COGS, Sales Team'!T$13,$I43&gt;='Sales, COGS, Sales Team'!T$13),$G43,0)</f>
        <v>0</v>
      </c>
      <c r="U43" s="24">
        <f>IF(AND($H43&lt;='Sales, COGS, Sales Team'!U$13,$I43&gt;='Sales, COGS, Sales Team'!U$13),$G43,0)</f>
        <v>0</v>
      </c>
      <c r="V43" s="24">
        <f>IF(AND($H43&lt;='Sales, COGS, Sales Team'!V$13,$I43&gt;='Sales, COGS, Sales Team'!V$13),$G43,0)</f>
        <v>0</v>
      </c>
      <c r="W43" s="24">
        <f>IF(AND($H43&lt;='Sales, COGS, Sales Team'!W$13,$I43&gt;='Sales, COGS, Sales Team'!W$13),$G43,0)</f>
        <v>2083.3333333333335</v>
      </c>
      <c r="X43" s="24">
        <f>IF(AND($H43&lt;='Sales, COGS, Sales Team'!X$13,$I43&gt;='Sales, COGS, Sales Team'!X$13),$G43,0)</f>
        <v>0</v>
      </c>
      <c r="Y43" s="24">
        <f>IF(AND($H43&lt;='Sales, COGS, Sales Team'!Y$13,$I43&gt;='Sales, COGS, Sales Team'!Y$13),$G43,0)</f>
        <v>0</v>
      </c>
      <c r="Z43" s="24">
        <f>IF(AND($H43&lt;='Sales, COGS, Sales Team'!Z$13,$I43&gt;='Sales, COGS, Sales Team'!Z$13),$G43,0)</f>
        <v>0</v>
      </c>
      <c r="AA43" s="24">
        <f>IF(AND($H43&lt;='Sales, COGS, Sales Team'!AA$13,$I43&gt;='Sales, COGS, Sales Team'!AA$13),$G43,0)</f>
        <v>0</v>
      </c>
      <c r="AB43" s="24">
        <f>IF(AND($H43&lt;='Sales, COGS, Sales Team'!AB$13,$I43&gt;='Sales, COGS, Sales Team'!AB$13),$G43,0)</f>
        <v>0</v>
      </c>
      <c r="AC43" s="24">
        <f>IF(AND($H43&lt;='Sales, COGS, Sales Team'!AC$13,$I43&gt;='Sales, COGS, Sales Team'!AC$13),$G43,0)</f>
        <v>0</v>
      </c>
      <c r="AD43" s="24">
        <f>IF(AND($H43&lt;='Sales, COGS, Sales Team'!AD$13,$I43&gt;='Sales, COGS, Sales Team'!AD$13),$G43,0)</f>
        <v>0</v>
      </c>
      <c r="AE43" s="24">
        <f>IF(AND($H43&lt;='Sales, COGS, Sales Team'!AE$13,$I43&gt;='Sales, COGS, Sales Team'!AE$13),$G43,0)</f>
        <v>0</v>
      </c>
      <c r="AF43" s="24">
        <f>IF(AND($H43&lt;='Sales, COGS, Sales Team'!AF$13,$I43&gt;='Sales, COGS, Sales Team'!AF$13),$G43,0)</f>
        <v>0</v>
      </c>
      <c r="AG43" s="24">
        <f>IF(AND($H43&lt;='Sales, COGS, Sales Team'!AG$13,$I43&gt;='Sales, COGS, Sales Team'!AG$13),$G43,0)</f>
        <v>0</v>
      </c>
      <c r="AH43" s="24">
        <f>IF(AND($H43&lt;='Sales, COGS, Sales Team'!AH$13,$I43&gt;='Sales, COGS, Sales Team'!AH$13),$G43,0)</f>
        <v>0</v>
      </c>
      <c r="AI43" s="24">
        <f>IF(AND($H43&lt;='Sales, COGS, Sales Team'!AI$13,$I43&gt;='Sales, COGS, Sales Team'!AI$13),$G43,0)</f>
        <v>0</v>
      </c>
      <c r="AJ43" s="24">
        <f>IF(AND($H43&lt;='Sales, COGS, Sales Team'!AJ$13,$I43&gt;='Sales, COGS, Sales Team'!AJ$13),$G43*(1+$G$44),0)</f>
        <v>0</v>
      </c>
      <c r="AK43" s="24">
        <f>IF(AND($H43&lt;='Sales, COGS, Sales Team'!AK$13,$I43&gt;='Sales, COGS, Sales Team'!AK$13),$G43*(1+$G$44),0)</f>
        <v>0</v>
      </c>
      <c r="AL43" s="24">
        <f>IF(AND($H43&lt;='Sales, COGS, Sales Team'!AL$13,$I43&gt;='Sales, COGS, Sales Team'!AL$13),$G43*(1+$G$44),0)</f>
        <v>0</v>
      </c>
      <c r="AM43" s="24">
        <f>IF(AND($H43&lt;='Sales, COGS, Sales Team'!AM$13,$I43&gt;='Sales, COGS, Sales Team'!AM$13),$G43*(1+$G$44),0)</f>
        <v>0</v>
      </c>
      <c r="AN43" s="24">
        <f>IF(AND($H43&lt;='Sales, COGS, Sales Team'!AN$13,$I43&gt;='Sales, COGS, Sales Team'!AN$13),$G43*(1+$G$44),0)</f>
        <v>0</v>
      </c>
      <c r="AO43" s="24">
        <f>IF(AND($H43&lt;='Sales, COGS, Sales Team'!AO$13,$I43&gt;='Sales, COGS, Sales Team'!AO$13),$G43*(1+$G$44),0)</f>
        <v>0</v>
      </c>
      <c r="AP43" s="24">
        <f>IF(AND($H43&lt;='Sales, COGS, Sales Team'!AP$13,$I43&gt;='Sales, COGS, Sales Team'!AP$13),$G43*(1+$G$44),0)</f>
        <v>0</v>
      </c>
      <c r="AQ43" s="24">
        <f>IF(AND($H43&lt;='Sales, COGS, Sales Team'!AQ$13,$I43&gt;='Sales, COGS, Sales Team'!AQ$13),$G43*(1+$G$44),0)</f>
        <v>0</v>
      </c>
      <c r="AR43" s="24">
        <f>IF(AND($H43&lt;='Sales, COGS, Sales Team'!AR$13,$I43&gt;='Sales, COGS, Sales Team'!AR$13),$G43*(1+$G$44),0)</f>
        <v>0</v>
      </c>
      <c r="AS43" s="24">
        <f>IF(AND($H43&lt;='Sales, COGS, Sales Team'!AS$13,$I43&gt;='Sales, COGS, Sales Team'!AS$13),$G43*(1+$G$44),0)</f>
        <v>0</v>
      </c>
      <c r="AT43" s="24">
        <f>IF(AND($H43&lt;='Sales, COGS, Sales Team'!AT$13,$I43&gt;='Sales, COGS, Sales Team'!AT$13),$G43*(1+$G$44),0)</f>
        <v>0</v>
      </c>
      <c r="AU43" s="24">
        <f>IF(AND($H43&lt;='Sales, COGS, Sales Team'!AU$13,$I43&gt;='Sales, COGS, Sales Team'!AU$13),$G43*(1+$G$44),0)</f>
        <v>0</v>
      </c>
      <c r="AW43" s="91">
        <f t="shared" ref="AW43:BD43" si="47">SUMIFS($L43:$AU43,$L$11:$AU$11,"&gt;"&amp;AV$11,$L$11:$AU$11,"&lt;="&amp;AW$11)</f>
        <v>0</v>
      </c>
      <c r="AX43" s="91">
        <f t="shared" si="47"/>
        <v>0</v>
      </c>
      <c r="AY43" s="91">
        <f t="shared" si="47"/>
        <v>0</v>
      </c>
      <c r="AZ43" s="91">
        <f t="shared" si="47"/>
        <v>0</v>
      </c>
      <c r="BA43" s="91">
        <f t="shared" si="47"/>
        <v>0</v>
      </c>
      <c r="BB43" s="91">
        <f t="shared" si="47"/>
        <v>0</v>
      </c>
      <c r="BC43" s="91">
        <f t="shared" si="47"/>
        <v>0</v>
      </c>
      <c r="BD43" s="91">
        <f t="shared" si="47"/>
        <v>0</v>
      </c>
      <c r="BF43" s="76">
        <f t="shared" ref="BF43:BG43" si="48">SUMIFS($AW43:$BD43,$AW$11:$BD$11,"&gt;"&amp;BE$11,$AW$11:$BD$11,"&lt;="&amp;BF$11)</f>
        <v>0</v>
      </c>
      <c r="BG43" s="76">
        <f t="shared" si="48"/>
        <v>0</v>
      </c>
      <c r="BH43" s="76"/>
      <c r="BI43" s="76"/>
      <c r="BJ43" s="76"/>
    </row>
    <row r="44" spans="2:63" collapsed="1" x14ac:dyDescent="0.2">
      <c r="C44" s="23" t="s">
        <v>40</v>
      </c>
      <c r="G44" s="185">
        <f>'Key Assumptions + Summary'!E76</f>
        <v>0.15</v>
      </c>
      <c r="H44" s="185">
        <f>'Key Assumptions + Summary'!F76</f>
        <v>0.1</v>
      </c>
      <c r="I44" s="185">
        <f>'Key Assumptions + Summary'!G76</f>
        <v>0.1</v>
      </c>
      <c r="J44" s="185">
        <f>'Key Assumptions + Summary'!H76</f>
        <v>0.1</v>
      </c>
      <c r="L44" s="24">
        <f t="shared" ref="L44:AU44" si="49">SUM(L40:L43)</f>
        <v>0</v>
      </c>
      <c r="M44" s="24">
        <f t="shared" si="49"/>
        <v>0</v>
      </c>
      <c r="N44" s="24">
        <f t="shared" si="49"/>
        <v>0</v>
      </c>
      <c r="O44" s="24">
        <f t="shared" si="49"/>
        <v>0</v>
      </c>
      <c r="P44" s="24">
        <f t="shared" si="49"/>
        <v>0</v>
      </c>
      <c r="Q44" s="24">
        <f t="shared" si="49"/>
        <v>0</v>
      </c>
      <c r="R44" s="24">
        <f t="shared" si="49"/>
        <v>0</v>
      </c>
      <c r="S44" s="24">
        <f t="shared" si="49"/>
        <v>0</v>
      </c>
      <c r="T44" s="24">
        <f t="shared" si="49"/>
        <v>5166.666666666667</v>
      </c>
      <c r="U44" s="24">
        <f t="shared" si="49"/>
        <v>5000</v>
      </c>
      <c r="V44" s="24">
        <f t="shared" si="49"/>
        <v>5000</v>
      </c>
      <c r="W44" s="24">
        <f t="shared" si="49"/>
        <v>7083.3333333333339</v>
      </c>
      <c r="X44" s="24">
        <f t="shared" si="49"/>
        <v>5848.6111111111113</v>
      </c>
      <c r="Y44" s="24">
        <f t="shared" si="49"/>
        <v>5848.6111111111113</v>
      </c>
      <c r="Z44" s="24">
        <f t="shared" si="49"/>
        <v>5848.6111111111113</v>
      </c>
      <c r="AA44" s="24">
        <f t="shared" si="49"/>
        <v>5848.6111111111113</v>
      </c>
      <c r="AB44" s="24">
        <f t="shared" si="49"/>
        <v>5848.6111111111113</v>
      </c>
      <c r="AC44" s="24">
        <f t="shared" si="49"/>
        <v>5848.6111111111113</v>
      </c>
      <c r="AD44" s="24">
        <f t="shared" si="49"/>
        <v>5848.6111111111113</v>
      </c>
      <c r="AE44" s="24">
        <f t="shared" si="49"/>
        <v>5848.6111111111113</v>
      </c>
      <c r="AF44" s="24">
        <f t="shared" si="49"/>
        <v>5848.6111111111113</v>
      </c>
      <c r="AG44" s="24">
        <f t="shared" si="49"/>
        <v>5848.6111111111113</v>
      </c>
      <c r="AH44" s="24">
        <f t="shared" si="49"/>
        <v>5848.6111111111113</v>
      </c>
      <c r="AI44" s="24">
        <f t="shared" si="49"/>
        <v>5848.6111111111113</v>
      </c>
      <c r="AJ44" s="24">
        <f t="shared" si="49"/>
        <v>5750</v>
      </c>
      <c r="AK44" s="24">
        <f t="shared" si="49"/>
        <v>5750</v>
      </c>
      <c r="AL44" s="24">
        <f t="shared" si="49"/>
        <v>5750</v>
      </c>
      <c r="AM44" s="24">
        <f t="shared" si="49"/>
        <v>5750</v>
      </c>
      <c r="AN44" s="24">
        <f t="shared" si="49"/>
        <v>5750</v>
      </c>
      <c r="AO44" s="24">
        <f t="shared" si="49"/>
        <v>5750</v>
      </c>
      <c r="AP44" s="24">
        <f t="shared" si="49"/>
        <v>5750</v>
      </c>
      <c r="AQ44" s="24">
        <f t="shared" si="49"/>
        <v>5750</v>
      </c>
      <c r="AR44" s="24">
        <f t="shared" si="49"/>
        <v>5750</v>
      </c>
      <c r="AS44" s="24">
        <f t="shared" si="49"/>
        <v>5750</v>
      </c>
      <c r="AT44" s="24">
        <f t="shared" si="49"/>
        <v>5750</v>
      </c>
      <c r="AU44" s="24">
        <f t="shared" si="49"/>
        <v>5750</v>
      </c>
      <c r="AW44" s="24">
        <f t="shared" ref="AW44:BD44" si="50">SUM(AW40:AW43)</f>
        <v>17545.833333333332</v>
      </c>
      <c r="AX44" s="24">
        <f t="shared" si="50"/>
        <v>17545.833333333332</v>
      </c>
      <c r="AY44" s="24">
        <f t="shared" si="50"/>
        <v>17545.833333333332</v>
      </c>
      <c r="AZ44" s="24">
        <f t="shared" si="50"/>
        <v>17545.833333333332</v>
      </c>
      <c r="BA44" s="24">
        <f t="shared" si="50"/>
        <v>17250</v>
      </c>
      <c r="BB44" s="24">
        <f t="shared" si="50"/>
        <v>17250</v>
      </c>
      <c r="BC44" s="24">
        <f t="shared" si="50"/>
        <v>17250</v>
      </c>
      <c r="BD44" s="24">
        <f t="shared" si="50"/>
        <v>17250</v>
      </c>
      <c r="BF44" s="24">
        <f>SUM(BF40:BF43)</f>
        <v>70183.333333333328</v>
      </c>
      <c r="BG44" s="24">
        <f>SUM(BG40:BG43)</f>
        <v>69000</v>
      </c>
      <c r="BH44" s="24">
        <f>BG44*(1+H44)</f>
        <v>75900</v>
      </c>
      <c r="BI44" s="24">
        <f>BH44*(1+I44)</f>
        <v>83490</v>
      </c>
      <c r="BJ44" s="24">
        <f>BI44*(1+J44)</f>
        <v>91839.000000000015</v>
      </c>
    </row>
    <row r="45" spans="2:63" ht="15" hidden="1" outlineLevel="1" x14ac:dyDescent="0.35">
      <c r="C45" s="23"/>
      <c r="F45" s="69"/>
      <c r="G45" s="69" t="s">
        <v>30</v>
      </c>
      <c r="H45" s="69" t="s">
        <v>31</v>
      </c>
      <c r="I45" s="69" t="s">
        <v>72</v>
      </c>
    </row>
    <row r="46" spans="2:63" hidden="1" outlineLevel="1" x14ac:dyDescent="0.2">
      <c r="C46" s="78" t="s">
        <v>41</v>
      </c>
      <c r="F46" s="40">
        <v>700</v>
      </c>
      <c r="G46" s="31">
        <f>F46/12</f>
        <v>58.333333333333336</v>
      </c>
      <c r="H46" s="34">
        <v>45199</v>
      </c>
      <c r="I46" s="34">
        <v>46022</v>
      </c>
      <c r="J46" s="34"/>
      <c r="L46" s="24">
        <f>IF(AND($H46&lt;='Sales, COGS, Sales Team'!L$13,$I46&gt;='Sales, COGS, Sales Team'!L$13),$G46,0)</f>
        <v>0</v>
      </c>
      <c r="M46" s="24">
        <f>IF(AND($H46&lt;='Sales, COGS, Sales Team'!M$13,$I46&gt;='Sales, COGS, Sales Team'!M$13),$G46,0)</f>
        <v>0</v>
      </c>
      <c r="N46" s="24">
        <f>IF(AND($H46&lt;='Sales, COGS, Sales Team'!N$13,$I46&gt;='Sales, COGS, Sales Team'!N$13),$G46,0)</f>
        <v>0</v>
      </c>
      <c r="O46" s="24">
        <f>IF(AND($H46&lt;='Sales, COGS, Sales Team'!O$13,$I46&gt;='Sales, COGS, Sales Team'!O$13),$G46,0)</f>
        <v>0</v>
      </c>
      <c r="P46" s="24">
        <f>IF(AND($H46&lt;='Sales, COGS, Sales Team'!P$13,$I46&gt;='Sales, COGS, Sales Team'!P$13),$G46,0)</f>
        <v>0</v>
      </c>
      <c r="Q46" s="24">
        <f>IF(AND($H46&lt;='Sales, COGS, Sales Team'!Q$13,$I46&gt;='Sales, COGS, Sales Team'!Q$13),$G46,0)</f>
        <v>0</v>
      </c>
      <c r="R46" s="24">
        <f>IF(AND($H46&lt;='Sales, COGS, Sales Team'!R$13,$I46&gt;='Sales, COGS, Sales Team'!R$13),$G46,0)</f>
        <v>0</v>
      </c>
      <c r="S46" s="24">
        <f>IF(AND($H46&lt;='Sales, COGS, Sales Team'!S$13,$I46&gt;='Sales, COGS, Sales Team'!S$13),$G46,0)</f>
        <v>0</v>
      </c>
      <c r="T46" s="24">
        <f>IF(AND($H46&lt;='Sales, COGS, Sales Team'!T$13,$I46&gt;='Sales, COGS, Sales Team'!T$13),$G46,0)</f>
        <v>58.333333333333336</v>
      </c>
      <c r="U46" s="24">
        <f>IF(AND($H46&lt;='Sales, COGS, Sales Team'!U$13,$I46&gt;='Sales, COGS, Sales Team'!U$13),$G46,0)</f>
        <v>58.333333333333336</v>
      </c>
      <c r="V46" s="24">
        <f>IF(AND($H46&lt;='Sales, COGS, Sales Team'!V$13,$I46&gt;='Sales, COGS, Sales Team'!V$13),$G46,0)</f>
        <v>58.333333333333336</v>
      </c>
      <c r="W46" s="24">
        <f>IF(AND($H46&lt;='Sales, COGS, Sales Team'!W$13,$I46&gt;='Sales, COGS, Sales Team'!W$13),$G46,0)</f>
        <v>58.333333333333336</v>
      </c>
      <c r="X46" s="24">
        <f>IF(AND($H46&lt;='Sales, COGS, Sales Team'!X$13,$I46&gt;='Sales, COGS, Sales Team'!X$13),$G46,0)</f>
        <v>58.333333333333336</v>
      </c>
      <c r="Y46" s="24">
        <f>IF(AND($H46&lt;='Sales, COGS, Sales Team'!Y$13,$I46&gt;='Sales, COGS, Sales Team'!Y$13),$G46,0)</f>
        <v>58.333333333333336</v>
      </c>
      <c r="Z46" s="24">
        <f>IF(AND($H46&lt;='Sales, COGS, Sales Team'!Z$13,$I46&gt;='Sales, COGS, Sales Team'!Z$13),$G46,0)</f>
        <v>58.333333333333336</v>
      </c>
      <c r="AA46" s="24">
        <f>IF(AND($H46&lt;='Sales, COGS, Sales Team'!AA$13,$I46&gt;='Sales, COGS, Sales Team'!AA$13),$G46,0)</f>
        <v>58.333333333333336</v>
      </c>
      <c r="AB46" s="24">
        <f>IF(AND($H46&lt;='Sales, COGS, Sales Team'!AB$13,$I46&gt;='Sales, COGS, Sales Team'!AB$13),$G46,0)</f>
        <v>58.333333333333336</v>
      </c>
      <c r="AC46" s="24">
        <f>IF(AND($H46&lt;='Sales, COGS, Sales Team'!AC$13,$I46&gt;='Sales, COGS, Sales Team'!AC$13),$G46,0)</f>
        <v>58.333333333333336</v>
      </c>
      <c r="AD46" s="24">
        <f>IF(AND($H46&lt;='Sales, COGS, Sales Team'!AD$13,$I46&gt;='Sales, COGS, Sales Team'!AD$13),$G46,0)</f>
        <v>58.333333333333336</v>
      </c>
      <c r="AE46" s="24">
        <f>IF(AND($H46&lt;='Sales, COGS, Sales Team'!AE$13,$I46&gt;='Sales, COGS, Sales Team'!AE$13),$G46,0)</f>
        <v>58.333333333333336</v>
      </c>
      <c r="AF46" s="24">
        <f>IF(AND($H46&lt;='Sales, COGS, Sales Team'!AF$13,$I46&gt;='Sales, COGS, Sales Team'!AF$13),$G46,0)</f>
        <v>58.333333333333336</v>
      </c>
      <c r="AG46" s="24">
        <f>IF(AND($H46&lt;='Sales, COGS, Sales Team'!AG$13,$I46&gt;='Sales, COGS, Sales Team'!AG$13),$G46,0)</f>
        <v>58.333333333333336</v>
      </c>
      <c r="AH46" s="24">
        <f>IF(AND($H46&lt;='Sales, COGS, Sales Team'!AH$13,$I46&gt;='Sales, COGS, Sales Team'!AH$13),$G46,0)</f>
        <v>58.333333333333336</v>
      </c>
      <c r="AI46" s="24">
        <f>IF(AND($H46&lt;='Sales, COGS, Sales Team'!AI$13,$I46&gt;='Sales, COGS, Sales Team'!AI$13),$G46,0)</f>
        <v>58.333333333333336</v>
      </c>
      <c r="AJ46" s="24">
        <f>IF(AND($H46&lt;='Sales, COGS, Sales Team'!AJ$13,$I46&gt;='Sales, COGS, Sales Team'!AJ$13),$G46*(1+$G$51),0)</f>
        <v>67.083333333333329</v>
      </c>
      <c r="AK46" s="24">
        <f>IF(AND($H46&lt;='Sales, COGS, Sales Team'!AK$13,$I46&gt;='Sales, COGS, Sales Team'!AK$13),$G46*(1+$G$51),0)</f>
        <v>67.083333333333329</v>
      </c>
      <c r="AL46" s="24">
        <f>IF(AND($H46&lt;='Sales, COGS, Sales Team'!AL$13,$I46&gt;='Sales, COGS, Sales Team'!AL$13),$G46*(1+$G$51),0)</f>
        <v>67.083333333333329</v>
      </c>
      <c r="AM46" s="24">
        <f>IF(AND($H46&lt;='Sales, COGS, Sales Team'!AM$13,$I46&gt;='Sales, COGS, Sales Team'!AM$13),$G46*(1+$G$51),0)</f>
        <v>67.083333333333329</v>
      </c>
      <c r="AN46" s="24">
        <f>IF(AND($H46&lt;='Sales, COGS, Sales Team'!AN$13,$I46&gt;='Sales, COGS, Sales Team'!AN$13),$G46*(1+$G$51),0)</f>
        <v>67.083333333333329</v>
      </c>
      <c r="AO46" s="24">
        <f>IF(AND($H46&lt;='Sales, COGS, Sales Team'!AO$13,$I46&gt;='Sales, COGS, Sales Team'!AO$13),$G46*(1+$G$51),0)</f>
        <v>67.083333333333329</v>
      </c>
      <c r="AP46" s="24">
        <f>IF(AND($H46&lt;='Sales, COGS, Sales Team'!AP$13,$I46&gt;='Sales, COGS, Sales Team'!AP$13),$G46*(1+$G$51),0)</f>
        <v>67.083333333333329</v>
      </c>
      <c r="AQ46" s="24">
        <f>IF(AND($H46&lt;='Sales, COGS, Sales Team'!AQ$13,$I46&gt;='Sales, COGS, Sales Team'!AQ$13),$G46*(1+$G$51),0)</f>
        <v>67.083333333333329</v>
      </c>
      <c r="AR46" s="24">
        <f>IF(AND($H46&lt;='Sales, COGS, Sales Team'!AR$13,$I46&gt;='Sales, COGS, Sales Team'!AR$13),$G46*(1+$G$51),0)</f>
        <v>67.083333333333329</v>
      </c>
      <c r="AS46" s="24">
        <f>IF(AND($H46&lt;='Sales, COGS, Sales Team'!AS$13,$I46&gt;='Sales, COGS, Sales Team'!AS$13),$G46*(1+$G$51),0)</f>
        <v>67.083333333333329</v>
      </c>
      <c r="AT46" s="24">
        <f>IF(AND($H46&lt;='Sales, COGS, Sales Team'!AT$13,$I46&gt;='Sales, COGS, Sales Team'!AT$13),$G46*(1+$G$51),0)</f>
        <v>67.083333333333329</v>
      </c>
      <c r="AU46" s="24">
        <f>IF(AND($H46&lt;='Sales, COGS, Sales Team'!AU$13,$I46&gt;='Sales, COGS, Sales Team'!AU$13),$G46*(1+$G$51),0)</f>
        <v>67.083333333333329</v>
      </c>
      <c r="AW46" s="86">
        <f t="shared" ref="AW46:BD46" si="51">SUMIFS($L46:$AU46,$L$11:$AU$11,"&gt;"&amp;AV$11,$L$11:$AU$11,"&lt;="&amp;AW$11)</f>
        <v>175</v>
      </c>
      <c r="AX46" s="86">
        <f t="shared" si="51"/>
        <v>175</v>
      </c>
      <c r="AY46" s="86">
        <f t="shared" si="51"/>
        <v>175</v>
      </c>
      <c r="AZ46" s="86">
        <f t="shared" si="51"/>
        <v>175</v>
      </c>
      <c r="BA46" s="86">
        <f t="shared" si="51"/>
        <v>201.25</v>
      </c>
      <c r="BB46" s="86">
        <f t="shared" si="51"/>
        <v>201.25</v>
      </c>
      <c r="BC46" s="86">
        <f t="shared" si="51"/>
        <v>201.25</v>
      </c>
      <c r="BD46" s="86">
        <f t="shared" si="51"/>
        <v>201.25</v>
      </c>
      <c r="BF46" s="24">
        <f t="shared" ref="BF46:BG46" si="52">SUMIFS($AW46:$BD46,$AW$11:$BD$11,"&gt;"&amp;BE$11,$AW$11:$BD$11,"&lt;="&amp;BF$11)</f>
        <v>700</v>
      </c>
      <c r="BG46" s="24">
        <f t="shared" si="52"/>
        <v>805</v>
      </c>
      <c r="BH46" s="24"/>
      <c r="BI46" s="24"/>
      <c r="BJ46" s="24"/>
    </row>
    <row r="47" spans="2:63" hidden="1" outlineLevel="1" x14ac:dyDescent="0.2">
      <c r="C47" s="78" t="s">
        <v>42</v>
      </c>
      <c r="F47" s="31"/>
      <c r="G47" s="31"/>
      <c r="H47" s="33"/>
      <c r="I47" s="32"/>
      <c r="J47" s="32"/>
      <c r="L47" s="24">
        <f>IF($H47&lt;='Sales, COGS, Sales Team'!L$13,$G47,0)</f>
        <v>0</v>
      </c>
      <c r="M47" s="24">
        <f>IF($H47&lt;='Sales, COGS, Sales Team'!M$13,$G47,0)</f>
        <v>0</v>
      </c>
      <c r="N47" s="24">
        <f>IF($H47&lt;='Sales, COGS, Sales Team'!N$13,$G47,0)</f>
        <v>0</v>
      </c>
      <c r="O47" s="24">
        <f>IF($H47&lt;='Sales, COGS, Sales Team'!O$13,$G47,0)</f>
        <v>0</v>
      </c>
      <c r="P47" s="24">
        <f>IF($H47&lt;='Sales, COGS, Sales Team'!P$13,$G47,0)</f>
        <v>0</v>
      </c>
      <c r="Q47" s="24">
        <f>IF($H47&lt;='Sales, COGS, Sales Team'!Q$13,$G47,0)</f>
        <v>0</v>
      </c>
      <c r="R47" s="24">
        <f>IF($H47&lt;='Sales, COGS, Sales Team'!R$13,$G47,0)</f>
        <v>0</v>
      </c>
      <c r="S47" s="24">
        <f>IF($H47&lt;='Sales, COGS, Sales Team'!S$13,$G47,0)</f>
        <v>0</v>
      </c>
      <c r="T47" s="24">
        <f>IF($H47&lt;='Sales, COGS, Sales Team'!T$13,$G47,0)</f>
        <v>0</v>
      </c>
      <c r="U47" s="24">
        <f>IF($H47&lt;='Sales, COGS, Sales Team'!U$13,$G47,0)</f>
        <v>0</v>
      </c>
      <c r="V47" s="24">
        <f>IF($H47&lt;='Sales, COGS, Sales Team'!V$13,$G47,0)</f>
        <v>0</v>
      </c>
      <c r="W47" s="24">
        <f>IF($H47&lt;='Sales, COGS, Sales Team'!W$13,$G47,0)</f>
        <v>0</v>
      </c>
      <c r="X47" s="24">
        <f>IF($H47&lt;='Sales, COGS, Sales Team'!X$13,$G47,0)</f>
        <v>0</v>
      </c>
      <c r="Y47" s="24">
        <f>IF($H47&lt;='Sales, COGS, Sales Team'!Y$13,$G47,0)</f>
        <v>0</v>
      </c>
      <c r="Z47" s="24">
        <f>IF($H47&lt;='Sales, COGS, Sales Team'!Z$13,$G47,0)</f>
        <v>0</v>
      </c>
      <c r="AA47" s="24">
        <f>IF($H47&lt;='Sales, COGS, Sales Team'!AA$13,$G47,0)</f>
        <v>0</v>
      </c>
      <c r="AB47" s="24">
        <f>IF($H47&lt;='Sales, COGS, Sales Team'!AB$13,$G47,0)</f>
        <v>0</v>
      </c>
      <c r="AC47" s="24">
        <f>IF($H47&lt;='Sales, COGS, Sales Team'!AC$13,$G47,0)</f>
        <v>0</v>
      </c>
      <c r="AD47" s="24">
        <f>IF($H47&lt;='Sales, COGS, Sales Team'!AD$13,$G47,0)</f>
        <v>0</v>
      </c>
      <c r="AE47" s="24">
        <f>IF($H47&lt;='Sales, COGS, Sales Team'!AE$13,$G47,0)</f>
        <v>0</v>
      </c>
      <c r="AF47" s="24">
        <f>IF($H47&lt;='Sales, COGS, Sales Team'!AF$13,$G47,0)</f>
        <v>0</v>
      </c>
      <c r="AG47" s="24">
        <f>IF($H47&lt;='Sales, COGS, Sales Team'!AG$13,$G47,0)</f>
        <v>0</v>
      </c>
      <c r="AH47" s="24">
        <f>IF($H47&lt;='Sales, COGS, Sales Team'!AH$13,$G47,0)</f>
        <v>0</v>
      </c>
      <c r="AI47" s="24">
        <f>IF($H47&lt;='Sales, COGS, Sales Team'!AI$13,$G47,0)</f>
        <v>0</v>
      </c>
      <c r="AJ47" s="24">
        <f>IF(AND($H47&lt;='Sales, COGS, Sales Team'!AJ$13,$I47&gt;='Sales, COGS, Sales Team'!AJ$13),$G47*(1+$G$51),0)</f>
        <v>0</v>
      </c>
      <c r="AK47" s="24">
        <f>IF(AND($H47&lt;='Sales, COGS, Sales Team'!AK$13,$I47&gt;='Sales, COGS, Sales Team'!AK$13),$G47*(1+$G$51),0)</f>
        <v>0</v>
      </c>
      <c r="AL47" s="24">
        <f>IF(AND($H47&lt;='Sales, COGS, Sales Team'!AL$13,$I47&gt;='Sales, COGS, Sales Team'!AL$13),$G47*(1+$G$51),0)</f>
        <v>0</v>
      </c>
      <c r="AM47" s="24">
        <f>IF(AND($H47&lt;='Sales, COGS, Sales Team'!AM$13,$I47&gt;='Sales, COGS, Sales Team'!AM$13),$G47*(1+$G$51),0)</f>
        <v>0</v>
      </c>
      <c r="AN47" s="24">
        <f>IF(AND($H47&lt;='Sales, COGS, Sales Team'!AN$13,$I47&gt;='Sales, COGS, Sales Team'!AN$13),$G47*(1+$G$51),0)</f>
        <v>0</v>
      </c>
      <c r="AO47" s="24">
        <f>IF(AND($H47&lt;='Sales, COGS, Sales Team'!AO$13,$I47&gt;='Sales, COGS, Sales Team'!AO$13),$G47*(1+$G$51),0)</f>
        <v>0</v>
      </c>
      <c r="AP47" s="24">
        <f>IF(AND($H47&lt;='Sales, COGS, Sales Team'!AP$13,$I47&gt;='Sales, COGS, Sales Team'!AP$13),$G47*(1+$G$51),0)</f>
        <v>0</v>
      </c>
      <c r="AQ47" s="24">
        <f>IF(AND($H47&lt;='Sales, COGS, Sales Team'!AQ$13,$I47&gt;='Sales, COGS, Sales Team'!AQ$13),$G47*(1+$G$51),0)</f>
        <v>0</v>
      </c>
      <c r="AR47" s="24">
        <f>IF(AND($H47&lt;='Sales, COGS, Sales Team'!AR$13,$I47&gt;='Sales, COGS, Sales Team'!AR$13),$G47*(1+$G$51),0)</f>
        <v>0</v>
      </c>
      <c r="AS47" s="24">
        <f>IF(AND($H47&lt;='Sales, COGS, Sales Team'!AS$13,$I47&gt;='Sales, COGS, Sales Team'!AS$13),$G47*(1+$G$51),0)</f>
        <v>0</v>
      </c>
      <c r="AT47" s="24">
        <f>IF(AND($H47&lt;='Sales, COGS, Sales Team'!AT$13,$I47&gt;='Sales, COGS, Sales Team'!AT$13),$G47*(1+$G$51),0)</f>
        <v>0</v>
      </c>
      <c r="AU47" s="24">
        <f>IF(AND($H47&lt;='Sales, COGS, Sales Team'!AU$13,$I47&gt;='Sales, COGS, Sales Team'!AU$13),$G47*(1+$G$51),0)</f>
        <v>0</v>
      </c>
      <c r="AW47" s="86">
        <f t="shared" ref="AW47:BD47" si="53">SUMIFS($L47:$AU47,$L$11:$AU$11,"&gt;"&amp;AV$11,$L$11:$AU$11,"&lt;="&amp;AW$11)</f>
        <v>0</v>
      </c>
      <c r="AX47" s="86">
        <f t="shared" si="53"/>
        <v>0</v>
      </c>
      <c r="AY47" s="86">
        <f t="shared" si="53"/>
        <v>0</v>
      </c>
      <c r="AZ47" s="86">
        <f t="shared" si="53"/>
        <v>0</v>
      </c>
      <c r="BA47" s="86">
        <f t="shared" si="53"/>
        <v>0</v>
      </c>
      <c r="BB47" s="86">
        <f t="shared" si="53"/>
        <v>0</v>
      </c>
      <c r="BC47" s="86">
        <f t="shared" si="53"/>
        <v>0</v>
      </c>
      <c r="BD47" s="86">
        <f t="shared" si="53"/>
        <v>0</v>
      </c>
      <c r="BF47" s="24">
        <f t="shared" ref="BF47:BG47" si="54">SUMIFS($AW47:$BD47,$AW$11:$BD$11,"&gt;"&amp;BE$11,$AW$11:$BD$11,"&lt;="&amp;BF$11)</f>
        <v>0</v>
      </c>
      <c r="BG47" s="24">
        <f t="shared" si="54"/>
        <v>0</v>
      </c>
      <c r="BH47" s="24"/>
      <c r="BI47" s="24"/>
      <c r="BJ47" s="24"/>
    </row>
    <row r="48" spans="2:63" hidden="1" outlineLevel="1" x14ac:dyDescent="0.2">
      <c r="C48" s="78" t="s">
        <v>101</v>
      </c>
      <c r="F48" s="40">
        <v>10000</v>
      </c>
      <c r="G48" s="31">
        <f>F48</f>
        <v>10000</v>
      </c>
      <c r="H48" s="34">
        <v>45291</v>
      </c>
      <c r="I48" s="34">
        <v>45291</v>
      </c>
      <c r="J48" s="34"/>
      <c r="L48" s="24">
        <f>IF(AND($H48&lt;='Sales, COGS, Sales Team'!L$13,$I48&gt;='Sales, COGS, Sales Team'!L$13),$G48,0)</f>
        <v>0</v>
      </c>
      <c r="M48" s="24">
        <f>IF(AND($H48&lt;='Sales, COGS, Sales Team'!M$13,$I48&gt;='Sales, COGS, Sales Team'!M$13),$G48,0)</f>
        <v>0</v>
      </c>
      <c r="N48" s="24">
        <f>IF(AND($H48&lt;='Sales, COGS, Sales Team'!N$13,$I48&gt;='Sales, COGS, Sales Team'!N$13),$G48,0)</f>
        <v>0</v>
      </c>
      <c r="O48" s="24">
        <f>IF(AND($H48&lt;='Sales, COGS, Sales Team'!O$13,$I48&gt;='Sales, COGS, Sales Team'!O$13),$G48,0)</f>
        <v>0</v>
      </c>
      <c r="P48" s="24">
        <f>IF(AND($H48&lt;='Sales, COGS, Sales Team'!P$13,$I48&gt;='Sales, COGS, Sales Team'!P$13),$G48,0)</f>
        <v>0</v>
      </c>
      <c r="Q48" s="24">
        <f>IF(AND($H48&lt;='Sales, COGS, Sales Team'!Q$13,$I48&gt;='Sales, COGS, Sales Team'!Q$13),$G48,0)</f>
        <v>0</v>
      </c>
      <c r="R48" s="24">
        <f>IF(AND($H48&lt;='Sales, COGS, Sales Team'!R$13,$I48&gt;='Sales, COGS, Sales Team'!R$13),$G48,0)</f>
        <v>0</v>
      </c>
      <c r="S48" s="24">
        <f>IF(AND($H48&lt;='Sales, COGS, Sales Team'!S$13,$I48&gt;='Sales, COGS, Sales Team'!S$13),$G48,0)</f>
        <v>0</v>
      </c>
      <c r="T48" s="24">
        <f>IF(AND($H48&lt;='Sales, COGS, Sales Team'!T$13,$I48&gt;='Sales, COGS, Sales Team'!T$13),$G48,0)</f>
        <v>0</v>
      </c>
      <c r="U48" s="24">
        <f>IF(AND($H48&lt;='Sales, COGS, Sales Team'!U$13,$I48&gt;='Sales, COGS, Sales Team'!U$13),$G48,0)</f>
        <v>0</v>
      </c>
      <c r="V48" s="24">
        <f>IF(AND($H48&lt;='Sales, COGS, Sales Team'!V$13,$I48&gt;='Sales, COGS, Sales Team'!V$13),$G48,0)</f>
        <v>0</v>
      </c>
      <c r="W48" s="24">
        <f>IF(AND($H48&lt;='Sales, COGS, Sales Team'!W$13,$I48&gt;='Sales, COGS, Sales Team'!W$13),$G48,0)</f>
        <v>10000</v>
      </c>
      <c r="X48" s="24">
        <f>IF(AND($H48&lt;='Sales, COGS, Sales Team'!X$13,$I48&gt;='Sales, COGS, Sales Team'!X$13),$G48,0)</f>
        <v>0</v>
      </c>
      <c r="Y48" s="24">
        <f>IF(AND($H48&lt;='Sales, COGS, Sales Team'!Y$13,$I48&gt;='Sales, COGS, Sales Team'!Y$13),$G48,0)</f>
        <v>0</v>
      </c>
      <c r="Z48" s="24">
        <f>IF(AND($H48&lt;='Sales, COGS, Sales Team'!Z$13,$I48&gt;='Sales, COGS, Sales Team'!Z$13),$G48,0)</f>
        <v>0</v>
      </c>
      <c r="AA48" s="24">
        <f>IF(AND($H48&lt;='Sales, COGS, Sales Team'!AA$13,$I48&gt;='Sales, COGS, Sales Team'!AA$13),$G48,0)</f>
        <v>0</v>
      </c>
      <c r="AB48" s="24">
        <f>IF(AND($H48&lt;='Sales, COGS, Sales Team'!AB$13,$I48&gt;='Sales, COGS, Sales Team'!AB$13),$G48,0)</f>
        <v>0</v>
      </c>
      <c r="AC48" s="24">
        <f>IF(AND($H48&lt;='Sales, COGS, Sales Team'!AC$13,$I48&gt;='Sales, COGS, Sales Team'!AC$13),$G48,0)</f>
        <v>0</v>
      </c>
      <c r="AD48" s="24">
        <f>IF(AND($H48&lt;='Sales, COGS, Sales Team'!AD$13,$I48&gt;='Sales, COGS, Sales Team'!AD$13),$G48,0)</f>
        <v>0</v>
      </c>
      <c r="AE48" s="24">
        <f>IF(AND($H48&lt;='Sales, COGS, Sales Team'!AE$13,$I48&gt;='Sales, COGS, Sales Team'!AE$13),$G48,0)</f>
        <v>0</v>
      </c>
      <c r="AF48" s="24">
        <f>IF(AND($H48&lt;='Sales, COGS, Sales Team'!AF$13,$I48&gt;='Sales, COGS, Sales Team'!AF$13),$G48,0)</f>
        <v>0</v>
      </c>
      <c r="AG48" s="24">
        <f>IF(AND($H48&lt;='Sales, COGS, Sales Team'!AG$13,$I48&gt;='Sales, COGS, Sales Team'!AG$13),$G48,0)</f>
        <v>0</v>
      </c>
      <c r="AH48" s="24">
        <f>IF(AND($H48&lt;='Sales, COGS, Sales Team'!AH$13,$I48&gt;='Sales, COGS, Sales Team'!AH$13),$G48,0)</f>
        <v>0</v>
      </c>
      <c r="AI48" s="24">
        <f>IF(AND($H48&lt;='Sales, COGS, Sales Team'!AI$13,$I48&gt;='Sales, COGS, Sales Team'!AI$13),$G48,0)</f>
        <v>0</v>
      </c>
      <c r="AJ48" s="24">
        <f>IF(AND($H48&lt;='Sales, COGS, Sales Team'!AJ$13,$I48&gt;='Sales, COGS, Sales Team'!AJ$13),$G48*(1+$G$51),0)</f>
        <v>0</v>
      </c>
      <c r="AK48" s="24">
        <f>IF(AND($H48&lt;='Sales, COGS, Sales Team'!AK$13,$I48&gt;='Sales, COGS, Sales Team'!AK$13),$G48*(1+$G$51),0)</f>
        <v>0</v>
      </c>
      <c r="AL48" s="24">
        <f>IF(AND($H48&lt;='Sales, COGS, Sales Team'!AL$13,$I48&gt;='Sales, COGS, Sales Team'!AL$13),$G48*(1+$G$51),0)</f>
        <v>0</v>
      </c>
      <c r="AM48" s="24">
        <f>IF(AND($H48&lt;='Sales, COGS, Sales Team'!AM$13,$I48&gt;='Sales, COGS, Sales Team'!AM$13),$G48*(1+$G$51),0)</f>
        <v>0</v>
      </c>
      <c r="AN48" s="24">
        <f>IF(AND($H48&lt;='Sales, COGS, Sales Team'!AN$13,$I48&gt;='Sales, COGS, Sales Team'!AN$13),$G48*(1+$G$51),0)</f>
        <v>0</v>
      </c>
      <c r="AO48" s="24">
        <f>IF(AND($H48&lt;='Sales, COGS, Sales Team'!AO$13,$I48&gt;='Sales, COGS, Sales Team'!AO$13),$G48*(1+$G$51),0)</f>
        <v>0</v>
      </c>
      <c r="AP48" s="24">
        <f>IF(AND($H48&lt;='Sales, COGS, Sales Team'!AP$13,$I48&gt;='Sales, COGS, Sales Team'!AP$13),$G48*(1+$G$51),0)</f>
        <v>0</v>
      </c>
      <c r="AQ48" s="24">
        <f>IF(AND($H48&lt;='Sales, COGS, Sales Team'!AQ$13,$I48&gt;='Sales, COGS, Sales Team'!AQ$13),$G48*(1+$G$51),0)</f>
        <v>0</v>
      </c>
      <c r="AR48" s="24">
        <f>IF(AND($H48&lt;='Sales, COGS, Sales Team'!AR$13,$I48&gt;='Sales, COGS, Sales Team'!AR$13),$G48*(1+$G$51),0)</f>
        <v>0</v>
      </c>
      <c r="AS48" s="24">
        <f>IF(AND($H48&lt;='Sales, COGS, Sales Team'!AS$13,$I48&gt;='Sales, COGS, Sales Team'!AS$13),$G48*(1+$G$51),0)</f>
        <v>0</v>
      </c>
      <c r="AT48" s="24">
        <f>IF(AND($H48&lt;='Sales, COGS, Sales Team'!AT$13,$I48&gt;='Sales, COGS, Sales Team'!AT$13),$G48*(1+$G$51),0)</f>
        <v>0</v>
      </c>
      <c r="AU48" s="24">
        <f>IF(AND($H48&lt;='Sales, COGS, Sales Team'!AU$13,$I48&gt;='Sales, COGS, Sales Team'!AU$13),$G48*(1+$G$51),0)</f>
        <v>0</v>
      </c>
      <c r="AW48" s="86">
        <f t="shared" ref="AW48:BD48" si="55">SUMIFS($L48:$AU48,$L$11:$AU$11,"&gt;"&amp;AV$11,$L$11:$AU$11,"&lt;="&amp;AW$11)</f>
        <v>0</v>
      </c>
      <c r="AX48" s="86">
        <f t="shared" si="55"/>
        <v>0</v>
      </c>
      <c r="AY48" s="86">
        <f t="shared" si="55"/>
        <v>0</v>
      </c>
      <c r="AZ48" s="86">
        <f t="shared" si="55"/>
        <v>0</v>
      </c>
      <c r="BA48" s="86">
        <f t="shared" si="55"/>
        <v>0</v>
      </c>
      <c r="BB48" s="86">
        <f t="shared" si="55"/>
        <v>0</v>
      </c>
      <c r="BC48" s="86">
        <f t="shared" si="55"/>
        <v>0</v>
      </c>
      <c r="BD48" s="86">
        <f t="shared" si="55"/>
        <v>0</v>
      </c>
      <c r="BF48" s="24">
        <f t="shared" ref="BF48:BG48" si="56">SUMIFS($AW48:$BD48,$AW$11:$BD$11,"&gt;"&amp;BE$11,$AW$11:$BD$11,"&lt;="&amp;BF$11)</f>
        <v>0</v>
      </c>
      <c r="BG48" s="24">
        <f t="shared" si="56"/>
        <v>0</v>
      </c>
      <c r="BH48" s="24"/>
      <c r="BI48" s="24"/>
      <c r="BJ48" s="24"/>
    </row>
    <row r="49" spans="2:63" hidden="1" outlineLevel="1" x14ac:dyDescent="0.2">
      <c r="C49" s="78" t="s">
        <v>102</v>
      </c>
      <c r="F49" s="40">
        <v>10000</v>
      </c>
      <c r="G49" s="31">
        <f>F49</f>
        <v>10000</v>
      </c>
      <c r="H49" s="34">
        <v>45657</v>
      </c>
      <c r="I49" s="34">
        <v>45657</v>
      </c>
      <c r="J49" s="34"/>
      <c r="L49" s="24">
        <f>IF(AND($H49&lt;='Sales, COGS, Sales Team'!L$13,$I49&gt;='Sales, COGS, Sales Team'!L$13),$G49,0)</f>
        <v>0</v>
      </c>
      <c r="M49" s="24">
        <f>IF(AND($H49&lt;='Sales, COGS, Sales Team'!M$13,$I49&gt;='Sales, COGS, Sales Team'!M$13),$G49,0)</f>
        <v>0</v>
      </c>
      <c r="N49" s="24">
        <f>IF(AND($H49&lt;='Sales, COGS, Sales Team'!N$13,$I49&gt;='Sales, COGS, Sales Team'!N$13),$G49,0)</f>
        <v>0</v>
      </c>
      <c r="O49" s="24">
        <f>IF(AND($H49&lt;='Sales, COGS, Sales Team'!O$13,$I49&gt;='Sales, COGS, Sales Team'!O$13),$G49,0)</f>
        <v>0</v>
      </c>
      <c r="P49" s="24">
        <f>IF(AND($H49&lt;='Sales, COGS, Sales Team'!P$13,$I49&gt;='Sales, COGS, Sales Team'!P$13),$G49,0)</f>
        <v>0</v>
      </c>
      <c r="Q49" s="24">
        <f>IF(AND($H49&lt;='Sales, COGS, Sales Team'!Q$13,$I49&gt;='Sales, COGS, Sales Team'!Q$13),$G49,0)</f>
        <v>0</v>
      </c>
      <c r="R49" s="24">
        <f>IF(AND($H49&lt;='Sales, COGS, Sales Team'!R$13,$I49&gt;='Sales, COGS, Sales Team'!R$13),$G49,0)</f>
        <v>0</v>
      </c>
      <c r="S49" s="24">
        <f>IF(AND($H49&lt;='Sales, COGS, Sales Team'!S$13,$I49&gt;='Sales, COGS, Sales Team'!S$13),$G49,0)</f>
        <v>0</v>
      </c>
      <c r="T49" s="24">
        <f>IF(AND($H49&lt;='Sales, COGS, Sales Team'!T$13,$I49&gt;='Sales, COGS, Sales Team'!T$13),$G49,0)</f>
        <v>0</v>
      </c>
      <c r="U49" s="24">
        <f>IF(AND($H49&lt;='Sales, COGS, Sales Team'!U$13,$I49&gt;='Sales, COGS, Sales Team'!U$13),$G49,0)</f>
        <v>0</v>
      </c>
      <c r="V49" s="24">
        <f>IF(AND($H49&lt;='Sales, COGS, Sales Team'!V$13,$I49&gt;='Sales, COGS, Sales Team'!V$13),$G49,0)</f>
        <v>0</v>
      </c>
      <c r="W49" s="24">
        <f>IF(AND($H49&lt;='Sales, COGS, Sales Team'!W$13,$I49&gt;='Sales, COGS, Sales Team'!W$13),$G49,0)</f>
        <v>0</v>
      </c>
      <c r="X49" s="24">
        <f>IF(AND($H49&lt;='Sales, COGS, Sales Team'!X$13,$I49&gt;='Sales, COGS, Sales Team'!X$13),$G49,0)</f>
        <v>0</v>
      </c>
      <c r="Y49" s="24">
        <f>IF(AND($H49&lt;='Sales, COGS, Sales Team'!Y$13,$I49&gt;='Sales, COGS, Sales Team'!Y$13),$G49,0)</f>
        <v>0</v>
      </c>
      <c r="Z49" s="24">
        <f>IF(AND($H49&lt;='Sales, COGS, Sales Team'!Z$13,$I49&gt;='Sales, COGS, Sales Team'!Z$13),$G49,0)</f>
        <v>0</v>
      </c>
      <c r="AA49" s="24">
        <f>IF(AND($H49&lt;='Sales, COGS, Sales Team'!AA$13,$I49&gt;='Sales, COGS, Sales Team'!AA$13),$G49,0)</f>
        <v>0</v>
      </c>
      <c r="AB49" s="24">
        <f>IF(AND($H49&lt;='Sales, COGS, Sales Team'!AB$13,$I49&gt;='Sales, COGS, Sales Team'!AB$13),$G49,0)</f>
        <v>0</v>
      </c>
      <c r="AC49" s="24">
        <f>IF(AND($H49&lt;='Sales, COGS, Sales Team'!AC$13,$I49&gt;='Sales, COGS, Sales Team'!AC$13),$G49,0)</f>
        <v>0</v>
      </c>
      <c r="AD49" s="24">
        <f>IF(AND($H49&lt;='Sales, COGS, Sales Team'!AD$13,$I49&gt;='Sales, COGS, Sales Team'!AD$13),$G49,0)</f>
        <v>0</v>
      </c>
      <c r="AE49" s="24">
        <f>IF(AND($H49&lt;='Sales, COGS, Sales Team'!AE$13,$I49&gt;='Sales, COGS, Sales Team'!AE$13),$G49,0)</f>
        <v>0</v>
      </c>
      <c r="AF49" s="24">
        <f>IF(AND($H49&lt;='Sales, COGS, Sales Team'!AF$13,$I49&gt;='Sales, COGS, Sales Team'!AF$13),$G49,0)</f>
        <v>0</v>
      </c>
      <c r="AG49" s="24">
        <f>IF(AND($H49&lt;='Sales, COGS, Sales Team'!AG$13,$I49&gt;='Sales, COGS, Sales Team'!AG$13),$G49,0)</f>
        <v>0</v>
      </c>
      <c r="AH49" s="24">
        <f>IF(AND($H49&lt;='Sales, COGS, Sales Team'!AH$13,$I49&gt;='Sales, COGS, Sales Team'!AH$13),$G49,0)</f>
        <v>0</v>
      </c>
      <c r="AI49" s="24">
        <f>IF(AND($H49&lt;='Sales, COGS, Sales Team'!AI$13,$I49&gt;='Sales, COGS, Sales Team'!AI$13),$G49,0)</f>
        <v>10000</v>
      </c>
      <c r="AJ49" s="24">
        <f>IF(AND($H49&lt;='Sales, COGS, Sales Team'!AJ$13,$I49&gt;='Sales, COGS, Sales Team'!AJ$13),$G49*(1+$G$51),0)</f>
        <v>0</v>
      </c>
      <c r="AK49" s="24">
        <f>IF(AND($H49&lt;='Sales, COGS, Sales Team'!AK$13,$I49&gt;='Sales, COGS, Sales Team'!AK$13),$G49*(1+$G$51),0)</f>
        <v>0</v>
      </c>
      <c r="AL49" s="24">
        <f>IF(AND($H49&lt;='Sales, COGS, Sales Team'!AL$13,$I49&gt;='Sales, COGS, Sales Team'!AL$13),$G49*(1+$G$51),0)</f>
        <v>0</v>
      </c>
      <c r="AM49" s="24">
        <f>IF(AND($H49&lt;='Sales, COGS, Sales Team'!AM$13,$I49&gt;='Sales, COGS, Sales Team'!AM$13),$G49*(1+$G$51),0)</f>
        <v>0</v>
      </c>
      <c r="AN49" s="24">
        <f>IF(AND($H49&lt;='Sales, COGS, Sales Team'!AN$13,$I49&gt;='Sales, COGS, Sales Team'!AN$13),$G49*(1+$G$51),0)</f>
        <v>0</v>
      </c>
      <c r="AO49" s="24">
        <f>IF(AND($H49&lt;='Sales, COGS, Sales Team'!AO$13,$I49&gt;='Sales, COGS, Sales Team'!AO$13),$G49*(1+$G$51),0)</f>
        <v>0</v>
      </c>
      <c r="AP49" s="24">
        <f>IF(AND($H49&lt;='Sales, COGS, Sales Team'!AP$13,$I49&gt;='Sales, COGS, Sales Team'!AP$13),$G49*(1+$G$51),0)</f>
        <v>0</v>
      </c>
      <c r="AQ49" s="24">
        <f>IF(AND($H49&lt;='Sales, COGS, Sales Team'!AQ$13,$I49&gt;='Sales, COGS, Sales Team'!AQ$13),$G49*(1+$G$51),0)</f>
        <v>0</v>
      </c>
      <c r="AR49" s="24">
        <f>IF(AND($H49&lt;='Sales, COGS, Sales Team'!AR$13,$I49&gt;='Sales, COGS, Sales Team'!AR$13),$G49*(1+$G$51),0)</f>
        <v>0</v>
      </c>
      <c r="AS49" s="24">
        <f>IF(AND($H49&lt;='Sales, COGS, Sales Team'!AS$13,$I49&gt;='Sales, COGS, Sales Team'!AS$13),$G49*(1+$G$51),0)</f>
        <v>0</v>
      </c>
      <c r="AT49" s="24">
        <f>IF(AND($H49&lt;='Sales, COGS, Sales Team'!AT$13,$I49&gt;='Sales, COGS, Sales Team'!AT$13),$G49*(1+$G$51),0)</f>
        <v>0</v>
      </c>
      <c r="AU49" s="24">
        <f>IF(AND($H49&lt;='Sales, COGS, Sales Team'!AU$13,$I49&gt;='Sales, COGS, Sales Team'!AU$13),$G49*(1+$G$51),0)</f>
        <v>0</v>
      </c>
      <c r="AW49" s="86">
        <f t="shared" ref="AW49:BD49" si="57">SUMIFS($L49:$AU49,$L$11:$AU$11,"&gt;"&amp;AV$11,$L$11:$AU$11,"&lt;="&amp;AW$11)</f>
        <v>0</v>
      </c>
      <c r="AX49" s="86">
        <f t="shared" si="57"/>
        <v>0</v>
      </c>
      <c r="AY49" s="86">
        <f t="shared" si="57"/>
        <v>0</v>
      </c>
      <c r="AZ49" s="86">
        <f t="shared" si="57"/>
        <v>10000</v>
      </c>
      <c r="BA49" s="86">
        <f t="shared" si="57"/>
        <v>0</v>
      </c>
      <c r="BB49" s="86">
        <f t="shared" si="57"/>
        <v>0</v>
      </c>
      <c r="BC49" s="86">
        <f t="shared" si="57"/>
        <v>0</v>
      </c>
      <c r="BD49" s="86">
        <f t="shared" si="57"/>
        <v>0</v>
      </c>
      <c r="BF49" s="24">
        <f t="shared" ref="BF49:BG49" si="58">SUMIFS($AW49:$BD49,$AW$11:$BD$11,"&gt;"&amp;BE$11,$AW$11:$BD$11,"&lt;="&amp;BF$11)</f>
        <v>10000</v>
      </c>
      <c r="BG49" s="24">
        <f t="shared" si="58"/>
        <v>0</v>
      </c>
      <c r="BH49" s="24"/>
      <c r="BI49" s="24"/>
      <c r="BJ49" s="24"/>
    </row>
    <row r="50" spans="2:63" hidden="1" outlineLevel="1" x14ac:dyDescent="0.2">
      <c r="C50" s="80" t="s">
        <v>100</v>
      </c>
      <c r="F50" s="40">
        <v>10000</v>
      </c>
      <c r="G50" s="31">
        <f>F50</f>
        <v>10000</v>
      </c>
      <c r="H50" s="34">
        <v>46022</v>
      </c>
      <c r="I50" s="34">
        <v>46022</v>
      </c>
      <c r="J50" s="34"/>
      <c r="L50" s="24">
        <f>IF(AND($H50&lt;='Sales, COGS, Sales Team'!L$13,$I50&gt;='Sales, COGS, Sales Team'!L$13),$G50,0)</f>
        <v>0</v>
      </c>
      <c r="M50" s="24">
        <f>IF(AND($H50&lt;='Sales, COGS, Sales Team'!M$13,$I50&gt;='Sales, COGS, Sales Team'!M$13),$G50,0)</f>
        <v>0</v>
      </c>
      <c r="N50" s="24">
        <f>IF(AND($H50&lt;='Sales, COGS, Sales Team'!N$13,$I50&gt;='Sales, COGS, Sales Team'!N$13),$G50,0)</f>
        <v>0</v>
      </c>
      <c r="O50" s="24">
        <f>IF(AND($H50&lt;='Sales, COGS, Sales Team'!O$13,$I50&gt;='Sales, COGS, Sales Team'!O$13),$G50,0)</f>
        <v>0</v>
      </c>
      <c r="P50" s="24">
        <f>IF(AND($H50&lt;='Sales, COGS, Sales Team'!P$13,$I50&gt;='Sales, COGS, Sales Team'!P$13),$G50,0)</f>
        <v>0</v>
      </c>
      <c r="Q50" s="24">
        <f>IF(AND($H50&lt;='Sales, COGS, Sales Team'!Q$13,$I50&gt;='Sales, COGS, Sales Team'!Q$13),$G50,0)</f>
        <v>0</v>
      </c>
      <c r="R50" s="24">
        <f>IF(AND($H50&lt;='Sales, COGS, Sales Team'!R$13,$I50&gt;='Sales, COGS, Sales Team'!R$13),$G50,0)</f>
        <v>0</v>
      </c>
      <c r="S50" s="24">
        <f>IF(AND($H50&lt;='Sales, COGS, Sales Team'!S$13,$I50&gt;='Sales, COGS, Sales Team'!S$13),$G50,0)</f>
        <v>0</v>
      </c>
      <c r="T50" s="24">
        <f>IF(AND($H50&lt;='Sales, COGS, Sales Team'!T$13,$I50&gt;='Sales, COGS, Sales Team'!T$13),$G50,0)</f>
        <v>0</v>
      </c>
      <c r="U50" s="24">
        <f>IF(AND($H50&lt;='Sales, COGS, Sales Team'!U$13,$I50&gt;='Sales, COGS, Sales Team'!U$13),$G50,0)</f>
        <v>0</v>
      </c>
      <c r="V50" s="24">
        <f>IF(AND($H50&lt;='Sales, COGS, Sales Team'!V$13,$I50&gt;='Sales, COGS, Sales Team'!V$13),$G50,0)</f>
        <v>0</v>
      </c>
      <c r="W50" s="24">
        <f>IF(AND($H50&lt;='Sales, COGS, Sales Team'!W$13,$I50&gt;='Sales, COGS, Sales Team'!W$13),$G50,0)</f>
        <v>0</v>
      </c>
      <c r="X50" s="24">
        <f>IF(AND($H50&lt;='Sales, COGS, Sales Team'!X$13,$I50&gt;='Sales, COGS, Sales Team'!X$13),$G50,0)</f>
        <v>0</v>
      </c>
      <c r="Y50" s="24">
        <f>IF(AND($H50&lt;='Sales, COGS, Sales Team'!Y$13,$I50&gt;='Sales, COGS, Sales Team'!Y$13),$G50,0)</f>
        <v>0</v>
      </c>
      <c r="Z50" s="24">
        <f>IF(AND($H50&lt;='Sales, COGS, Sales Team'!Z$13,$I50&gt;='Sales, COGS, Sales Team'!Z$13),$G50,0)</f>
        <v>0</v>
      </c>
      <c r="AA50" s="24">
        <f>IF(AND($H50&lt;='Sales, COGS, Sales Team'!AA$13,$I50&gt;='Sales, COGS, Sales Team'!AA$13),$G50,0)</f>
        <v>0</v>
      </c>
      <c r="AB50" s="24">
        <f>IF(AND($H50&lt;='Sales, COGS, Sales Team'!AB$13,$I50&gt;='Sales, COGS, Sales Team'!AB$13),$G50,0)</f>
        <v>0</v>
      </c>
      <c r="AC50" s="24">
        <f>IF(AND($H50&lt;='Sales, COGS, Sales Team'!AC$13,$I50&gt;='Sales, COGS, Sales Team'!AC$13),$G50,0)</f>
        <v>0</v>
      </c>
      <c r="AD50" s="24">
        <f>IF(AND($H50&lt;='Sales, COGS, Sales Team'!AD$13,$I50&gt;='Sales, COGS, Sales Team'!AD$13),$G50,0)</f>
        <v>0</v>
      </c>
      <c r="AE50" s="24">
        <f>IF(AND($H50&lt;='Sales, COGS, Sales Team'!AE$13,$I50&gt;='Sales, COGS, Sales Team'!AE$13),$G50,0)</f>
        <v>0</v>
      </c>
      <c r="AF50" s="24">
        <f>IF(AND($H50&lt;='Sales, COGS, Sales Team'!AF$13,$I50&gt;='Sales, COGS, Sales Team'!AF$13),$G50,0)</f>
        <v>0</v>
      </c>
      <c r="AG50" s="24">
        <f>IF(AND($H50&lt;='Sales, COGS, Sales Team'!AG$13,$I50&gt;='Sales, COGS, Sales Team'!AG$13),$G50,0)</f>
        <v>0</v>
      </c>
      <c r="AH50" s="24">
        <f>IF(AND($H50&lt;='Sales, COGS, Sales Team'!AH$13,$I50&gt;='Sales, COGS, Sales Team'!AH$13),$G50,0)</f>
        <v>0</v>
      </c>
      <c r="AI50" s="24">
        <f>IF(AND($H50&lt;='Sales, COGS, Sales Team'!AI$13,$I50&gt;='Sales, COGS, Sales Team'!AI$13),$G50,0)</f>
        <v>0</v>
      </c>
      <c r="AJ50" s="24">
        <f>IF(AND($H50&lt;='Sales, COGS, Sales Team'!AJ$13,$I50&gt;='Sales, COGS, Sales Team'!AJ$13),$G50*(1+$G$51),0)</f>
        <v>0</v>
      </c>
      <c r="AK50" s="24">
        <f>IF(AND($H50&lt;='Sales, COGS, Sales Team'!AK$13,$I50&gt;='Sales, COGS, Sales Team'!AK$13),$G50*(1+$G$51),0)</f>
        <v>0</v>
      </c>
      <c r="AL50" s="24">
        <f>IF(AND($H50&lt;='Sales, COGS, Sales Team'!AL$13,$I50&gt;='Sales, COGS, Sales Team'!AL$13),$G50*(1+$G$51),0)</f>
        <v>0</v>
      </c>
      <c r="AM50" s="24">
        <f>IF(AND($H50&lt;='Sales, COGS, Sales Team'!AM$13,$I50&gt;='Sales, COGS, Sales Team'!AM$13),$G50*(1+$G$51),0)</f>
        <v>0</v>
      </c>
      <c r="AN50" s="24">
        <f>IF(AND($H50&lt;='Sales, COGS, Sales Team'!AN$13,$I50&gt;='Sales, COGS, Sales Team'!AN$13),$G50*(1+$G$51),0)</f>
        <v>0</v>
      </c>
      <c r="AO50" s="24">
        <f>IF(AND($H50&lt;='Sales, COGS, Sales Team'!AO$13,$I50&gt;='Sales, COGS, Sales Team'!AO$13),$G50*(1+$G$51),0)</f>
        <v>0</v>
      </c>
      <c r="AP50" s="24">
        <f>IF(AND($H50&lt;='Sales, COGS, Sales Team'!AP$13,$I50&gt;='Sales, COGS, Sales Team'!AP$13),$G50*(1+$G$51),0)</f>
        <v>0</v>
      </c>
      <c r="AQ50" s="24">
        <f>IF(AND($H50&lt;='Sales, COGS, Sales Team'!AQ$13,$I50&gt;='Sales, COGS, Sales Team'!AQ$13),$G50*(1+$G$51),0)</f>
        <v>0</v>
      </c>
      <c r="AR50" s="24">
        <f>IF(AND($H50&lt;='Sales, COGS, Sales Team'!AR$13,$I50&gt;='Sales, COGS, Sales Team'!AR$13),$G50*(1+$G$51),0)</f>
        <v>0</v>
      </c>
      <c r="AS50" s="24">
        <f>IF(AND($H50&lt;='Sales, COGS, Sales Team'!AS$13,$I50&gt;='Sales, COGS, Sales Team'!AS$13),$G50*(1+$G$51),0)</f>
        <v>0</v>
      </c>
      <c r="AT50" s="24">
        <f>IF(AND($H50&lt;='Sales, COGS, Sales Team'!AT$13,$I50&gt;='Sales, COGS, Sales Team'!AT$13),$G50*(1+$G$51),0)</f>
        <v>0</v>
      </c>
      <c r="AU50" s="24">
        <f>IF(AND($H50&lt;='Sales, COGS, Sales Team'!AU$13,$I50&gt;='Sales, COGS, Sales Team'!AU$13),$G50*(1+$G$51),0)</f>
        <v>11500</v>
      </c>
      <c r="AW50" s="91">
        <f t="shared" ref="AW50:BD50" si="59">SUMIFS($L50:$AU50,$L$11:$AU$11,"&gt;"&amp;AV$11,$L$11:$AU$11,"&lt;="&amp;AW$11)</f>
        <v>0</v>
      </c>
      <c r="AX50" s="91">
        <f t="shared" si="59"/>
        <v>0</v>
      </c>
      <c r="AY50" s="91">
        <f t="shared" si="59"/>
        <v>0</v>
      </c>
      <c r="AZ50" s="91">
        <f t="shared" si="59"/>
        <v>0</v>
      </c>
      <c r="BA50" s="91">
        <f t="shared" si="59"/>
        <v>0</v>
      </c>
      <c r="BB50" s="91">
        <f t="shared" si="59"/>
        <v>0</v>
      </c>
      <c r="BC50" s="91">
        <f t="shared" si="59"/>
        <v>0</v>
      </c>
      <c r="BD50" s="91">
        <f t="shared" si="59"/>
        <v>11500</v>
      </c>
      <c r="BF50" s="76">
        <f t="shared" ref="BF50:BG50" si="60">SUMIFS($AW50:$BD50,$AW$11:$BD$11,"&gt;"&amp;BE$11,$AW$11:$BD$11,"&lt;="&amp;BF$11)</f>
        <v>0</v>
      </c>
      <c r="BG50" s="76">
        <f t="shared" si="60"/>
        <v>11500</v>
      </c>
      <c r="BH50" s="76"/>
      <c r="BI50" s="76"/>
      <c r="BJ50" s="76"/>
    </row>
    <row r="51" spans="2:63" collapsed="1" x14ac:dyDescent="0.2">
      <c r="C51" s="23" t="s">
        <v>43</v>
      </c>
      <c r="G51" s="185">
        <f>'Key Assumptions + Summary'!E77</f>
        <v>0.15</v>
      </c>
      <c r="H51" s="185">
        <f>'Key Assumptions + Summary'!F77</f>
        <v>0.1</v>
      </c>
      <c r="I51" s="185">
        <f>'Key Assumptions + Summary'!G77</f>
        <v>0.1</v>
      </c>
      <c r="J51" s="185">
        <f>'Key Assumptions + Summary'!H77</f>
        <v>0.1</v>
      </c>
      <c r="L51" s="24">
        <f t="shared" ref="L51:AU51" si="61">SUM(L46:L50)</f>
        <v>0</v>
      </c>
      <c r="M51" s="24">
        <f t="shared" si="61"/>
        <v>0</v>
      </c>
      <c r="N51" s="24">
        <f t="shared" si="61"/>
        <v>0</v>
      </c>
      <c r="O51" s="24">
        <f t="shared" si="61"/>
        <v>0</v>
      </c>
      <c r="P51" s="24">
        <f t="shared" si="61"/>
        <v>0</v>
      </c>
      <c r="Q51" s="24">
        <f t="shared" si="61"/>
        <v>0</v>
      </c>
      <c r="R51" s="24">
        <f t="shared" si="61"/>
        <v>0</v>
      </c>
      <c r="S51" s="24">
        <f t="shared" si="61"/>
        <v>0</v>
      </c>
      <c r="T51" s="24">
        <f t="shared" si="61"/>
        <v>58.333333333333336</v>
      </c>
      <c r="U51" s="24">
        <f t="shared" si="61"/>
        <v>58.333333333333336</v>
      </c>
      <c r="V51" s="24">
        <f t="shared" si="61"/>
        <v>58.333333333333336</v>
      </c>
      <c r="W51" s="24">
        <f t="shared" si="61"/>
        <v>10058.333333333334</v>
      </c>
      <c r="X51" s="24">
        <f t="shared" si="61"/>
        <v>58.333333333333336</v>
      </c>
      <c r="Y51" s="24">
        <f t="shared" si="61"/>
        <v>58.333333333333336</v>
      </c>
      <c r="Z51" s="24">
        <f t="shared" si="61"/>
        <v>58.333333333333336</v>
      </c>
      <c r="AA51" s="24">
        <f t="shared" si="61"/>
        <v>58.333333333333336</v>
      </c>
      <c r="AB51" s="24">
        <f t="shared" si="61"/>
        <v>58.333333333333336</v>
      </c>
      <c r="AC51" s="24">
        <f t="shared" si="61"/>
        <v>58.333333333333336</v>
      </c>
      <c r="AD51" s="24">
        <f t="shared" si="61"/>
        <v>58.333333333333336</v>
      </c>
      <c r="AE51" s="24">
        <f t="shared" si="61"/>
        <v>58.333333333333336</v>
      </c>
      <c r="AF51" s="24">
        <f t="shared" si="61"/>
        <v>58.333333333333336</v>
      </c>
      <c r="AG51" s="24">
        <f t="shared" si="61"/>
        <v>58.333333333333336</v>
      </c>
      <c r="AH51" s="24">
        <f t="shared" si="61"/>
        <v>58.333333333333336</v>
      </c>
      <c r="AI51" s="24">
        <f t="shared" si="61"/>
        <v>10058.333333333334</v>
      </c>
      <c r="AJ51" s="24">
        <f t="shared" si="61"/>
        <v>67.083333333333329</v>
      </c>
      <c r="AK51" s="24">
        <f t="shared" si="61"/>
        <v>67.083333333333329</v>
      </c>
      <c r="AL51" s="24">
        <f t="shared" si="61"/>
        <v>67.083333333333329</v>
      </c>
      <c r="AM51" s="24">
        <f t="shared" si="61"/>
        <v>67.083333333333329</v>
      </c>
      <c r="AN51" s="24">
        <f t="shared" si="61"/>
        <v>67.083333333333329</v>
      </c>
      <c r="AO51" s="24">
        <f t="shared" si="61"/>
        <v>67.083333333333329</v>
      </c>
      <c r="AP51" s="24">
        <f t="shared" si="61"/>
        <v>67.083333333333329</v>
      </c>
      <c r="AQ51" s="24">
        <f t="shared" si="61"/>
        <v>67.083333333333329</v>
      </c>
      <c r="AR51" s="24">
        <f t="shared" si="61"/>
        <v>67.083333333333329</v>
      </c>
      <c r="AS51" s="24">
        <f t="shared" si="61"/>
        <v>67.083333333333329</v>
      </c>
      <c r="AT51" s="24">
        <f t="shared" si="61"/>
        <v>67.083333333333329</v>
      </c>
      <c r="AU51" s="24">
        <f t="shared" si="61"/>
        <v>11567.083333333334</v>
      </c>
      <c r="AW51" s="24">
        <f t="shared" ref="AW51:BD51" si="62">SUM(AW46:AW50)</f>
        <v>175</v>
      </c>
      <c r="AX51" s="24">
        <f t="shared" si="62"/>
        <v>175</v>
      </c>
      <c r="AY51" s="24">
        <f t="shared" si="62"/>
        <v>175</v>
      </c>
      <c r="AZ51" s="24">
        <f t="shared" si="62"/>
        <v>10175</v>
      </c>
      <c r="BA51" s="24">
        <f t="shared" si="62"/>
        <v>201.25</v>
      </c>
      <c r="BB51" s="24">
        <f t="shared" si="62"/>
        <v>201.25</v>
      </c>
      <c r="BC51" s="24">
        <f t="shared" si="62"/>
        <v>201.25</v>
      </c>
      <c r="BD51" s="24">
        <f t="shared" si="62"/>
        <v>11701.25</v>
      </c>
      <c r="BF51" s="24">
        <f>SUM(BF46:BF50)</f>
        <v>10700</v>
      </c>
      <c r="BG51" s="24">
        <f>SUM(BG46:BG50)</f>
        <v>12305</v>
      </c>
      <c r="BH51" s="24">
        <f>BG51*(1+H51)</f>
        <v>13535.500000000002</v>
      </c>
      <c r="BI51" s="24">
        <f>BH51*(1+I51)</f>
        <v>14889.050000000003</v>
      </c>
      <c r="BJ51" s="24">
        <f>BI51*(1+J51)</f>
        <v>16377.955000000005</v>
      </c>
    </row>
    <row r="52" spans="2:63" ht="15" hidden="1" outlineLevel="1" x14ac:dyDescent="0.35">
      <c r="C52" s="23"/>
      <c r="F52" s="69"/>
      <c r="G52" s="69" t="s">
        <v>30</v>
      </c>
      <c r="H52" s="69" t="s">
        <v>31</v>
      </c>
      <c r="I52" s="69" t="s">
        <v>72</v>
      </c>
    </row>
    <row r="53" spans="2:63" hidden="1" outlineLevel="1" x14ac:dyDescent="0.2">
      <c r="B53" s="82"/>
      <c r="C53" s="81" t="s">
        <v>103</v>
      </c>
      <c r="D53" s="82"/>
      <c r="E53" s="82"/>
      <c r="F53" s="88">
        <v>100000</v>
      </c>
      <c r="G53" s="83">
        <f>F53</f>
        <v>100000</v>
      </c>
      <c r="H53" s="89">
        <v>45199</v>
      </c>
      <c r="I53" s="89">
        <v>45199</v>
      </c>
      <c r="J53" s="89"/>
      <c r="K53" s="82"/>
      <c r="L53" s="86">
        <f>IF(AND($H53&lt;='Sales, COGS, Sales Team'!L$13,$I53&gt;='Sales, COGS, Sales Team'!L$13),$G53,0)</f>
        <v>0</v>
      </c>
      <c r="M53" s="86">
        <f>IF(AND($H53&lt;='Sales, COGS, Sales Team'!M$13,$I53&gt;='Sales, COGS, Sales Team'!M$13),$G53,0)</f>
        <v>0</v>
      </c>
      <c r="N53" s="86">
        <f>IF(AND($H53&lt;='Sales, COGS, Sales Team'!N$13,$I53&gt;='Sales, COGS, Sales Team'!N$13),$G53,0)</f>
        <v>0</v>
      </c>
      <c r="O53" s="86">
        <f>IF(AND($H53&lt;='Sales, COGS, Sales Team'!O$13,$I53&gt;='Sales, COGS, Sales Team'!O$13),$G53,0)</f>
        <v>0</v>
      </c>
      <c r="P53" s="86">
        <f>IF(AND($H53&lt;='Sales, COGS, Sales Team'!P$13,$I53&gt;='Sales, COGS, Sales Team'!P$13),$G53,0)</f>
        <v>0</v>
      </c>
      <c r="Q53" s="86">
        <f>IF(AND($H53&lt;='Sales, COGS, Sales Team'!Q$13,$I53&gt;='Sales, COGS, Sales Team'!Q$13),$G53,0)</f>
        <v>0</v>
      </c>
      <c r="R53" s="86">
        <f>IF(AND($H53&lt;='Sales, COGS, Sales Team'!R$13,$I53&gt;='Sales, COGS, Sales Team'!R$13),$G53,0)</f>
        <v>0</v>
      </c>
      <c r="S53" s="86">
        <f>IF(AND($H53&lt;='Sales, COGS, Sales Team'!S$13,$I53&gt;='Sales, COGS, Sales Team'!S$13),$G53,0)</f>
        <v>0</v>
      </c>
      <c r="T53" s="86">
        <f>IF(AND($H53&lt;='Sales, COGS, Sales Team'!T$13,$I53&gt;='Sales, COGS, Sales Team'!T$13),$G53,0)</f>
        <v>100000</v>
      </c>
      <c r="U53" s="86">
        <f>IF(AND($H53&lt;='Sales, COGS, Sales Team'!U$13,$I53&gt;='Sales, COGS, Sales Team'!U$13),$G53,0)</f>
        <v>0</v>
      </c>
      <c r="V53" s="86">
        <f>IF(AND($H53&lt;='Sales, COGS, Sales Team'!V$13,$I53&gt;='Sales, COGS, Sales Team'!V$13),$G53,0)</f>
        <v>0</v>
      </c>
      <c r="W53" s="86">
        <f>IF(AND($H53&lt;='Sales, COGS, Sales Team'!W$13,$I53&gt;='Sales, COGS, Sales Team'!W$13),$G53,0)</f>
        <v>0</v>
      </c>
      <c r="X53" s="86">
        <f>IF(AND($H53&lt;='Sales, COGS, Sales Team'!X$13,$I53&gt;='Sales, COGS, Sales Team'!X$13),$G53,0)</f>
        <v>0</v>
      </c>
      <c r="Y53" s="86">
        <f>IF(AND($H53&lt;='Sales, COGS, Sales Team'!Y$13,$I53&gt;='Sales, COGS, Sales Team'!Y$13),$G53,0)</f>
        <v>0</v>
      </c>
      <c r="Z53" s="86">
        <f>IF(AND($H53&lt;='Sales, COGS, Sales Team'!Z$13,$I53&gt;='Sales, COGS, Sales Team'!Z$13),$G53,0)</f>
        <v>0</v>
      </c>
      <c r="AA53" s="86">
        <f>IF(AND($H53&lt;='Sales, COGS, Sales Team'!AA$13,$I53&gt;='Sales, COGS, Sales Team'!AA$13),$G53,0)</f>
        <v>0</v>
      </c>
      <c r="AB53" s="86">
        <f>IF(AND($H53&lt;='Sales, COGS, Sales Team'!AB$13,$I53&gt;='Sales, COGS, Sales Team'!AB$13),$G53,0)</f>
        <v>0</v>
      </c>
      <c r="AC53" s="86">
        <f>IF(AND($H53&lt;='Sales, COGS, Sales Team'!AC$13,$I53&gt;='Sales, COGS, Sales Team'!AC$13),$G53,0)</f>
        <v>0</v>
      </c>
      <c r="AD53" s="86">
        <f>IF(AND($H53&lt;='Sales, COGS, Sales Team'!AD$13,$I53&gt;='Sales, COGS, Sales Team'!AD$13),$G53,0)</f>
        <v>0</v>
      </c>
      <c r="AE53" s="86">
        <f>IF(AND($H53&lt;='Sales, COGS, Sales Team'!AE$13,$I53&gt;='Sales, COGS, Sales Team'!AE$13),$G53,0)</f>
        <v>0</v>
      </c>
      <c r="AF53" s="86">
        <f>IF(AND($H53&lt;='Sales, COGS, Sales Team'!AF$13,$I53&gt;='Sales, COGS, Sales Team'!AF$13),$G53,0)</f>
        <v>0</v>
      </c>
      <c r="AG53" s="86">
        <f>IF(AND($H53&lt;='Sales, COGS, Sales Team'!AG$13,$I53&gt;='Sales, COGS, Sales Team'!AG$13),$G53,0)</f>
        <v>0</v>
      </c>
      <c r="AH53" s="86">
        <f>IF(AND($H53&lt;='Sales, COGS, Sales Team'!AH$13,$I53&gt;='Sales, COGS, Sales Team'!AH$13),$G53,0)</f>
        <v>0</v>
      </c>
      <c r="AI53" s="86">
        <f>IF(AND($H53&lt;='Sales, COGS, Sales Team'!AI$13,$I53&gt;='Sales, COGS, Sales Team'!AI$13),$G53,0)</f>
        <v>0</v>
      </c>
      <c r="AJ53" s="86">
        <f>IF(AND($H53&lt;='Sales, COGS, Sales Team'!AJ$13,$I53&gt;='Sales, COGS, Sales Team'!AJ$13),$G53*(1+$G$56),0)</f>
        <v>0</v>
      </c>
      <c r="AK53" s="86">
        <f>IF(AND($H53&lt;='Sales, COGS, Sales Team'!AK$13,$I53&gt;='Sales, COGS, Sales Team'!AK$13),$G53*(1+$G$56),0)</f>
        <v>0</v>
      </c>
      <c r="AL53" s="86">
        <f>IF(AND($H53&lt;='Sales, COGS, Sales Team'!AL$13,$I53&gt;='Sales, COGS, Sales Team'!AL$13),$G53*(1+$G$56),0)</f>
        <v>0</v>
      </c>
      <c r="AM53" s="86">
        <f>IF(AND($H53&lt;='Sales, COGS, Sales Team'!AM$13,$I53&gt;='Sales, COGS, Sales Team'!AM$13),$G53*(1+$G$56),0)</f>
        <v>0</v>
      </c>
      <c r="AN53" s="86">
        <f>IF(AND($H53&lt;='Sales, COGS, Sales Team'!AN$13,$I53&gt;='Sales, COGS, Sales Team'!AN$13),$G53*(1+$G$56),0)</f>
        <v>0</v>
      </c>
      <c r="AO53" s="86">
        <f>IF(AND($H53&lt;='Sales, COGS, Sales Team'!AO$13,$I53&gt;='Sales, COGS, Sales Team'!AO$13),$G53*(1+$G$56),0)</f>
        <v>0</v>
      </c>
      <c r="AP53" s="86">
        <f>IF(AND($H53&lt;='Sales, COGS, Sales Team'!AP$13,$I53&gt;='Sales, COGS, Sales Team'!AP$13),$G53*(1+$G$56),0)</f>
        <v>0</v>
      </c>
      <c r="AQ53" s="86">
        <f>IF(AND($H53&lt;='Sales, COGS, Sales Team'!AQ$13,$I53&gt;='Sales, COGS, Sales Team'!AQ$13),$G53*(1+$G$56),0)</f>
        <v>0</v>
      </c>
      <c r="AR53" s="86">
        <f>IF(AND($H53&lt;='Sales, COGS, Sales Team'!AR$13,$I53&gt;='Sales, COGS, Sales Team'!AR$13),$G53*(1+$G$56),0)</f>
        <v>0</v>
      </c>
      <c r="AS53" s="86">
        <f>IF(AND($H53&lt;='Sales, COGS, Sales Team'!AS$13,$I53&gt;='Sales, COGS, Sales Team'!AS$13),$G53*(1+$G$56),0)</f>
        <v>0</v>
      </c>
      <c r="AT53" s="86">
        <f>IF(AND($H53&lt;='Sales, COGS, Sales Team'!AT$13,$I53&gt;='Sales, COGS, Sales Team'!AT$13),$G53*(1+$G$56),0)</f>
        <v>0</v>
      </c>
      <c r="AU53" s="86">
        <f>IF(AND($H53&lt;='Sales, COGS, Sales Team'!AU$13,$I53&gt;='Sales, COGS, Sales Team'!AU$13),$G53*(1+$G$56),0)</f>
        <v>0</v>
      </c>
      <c r="AV53" s="82"/>
      <c r="AW53" s="86">
        <f t="shared" ref="AW53:BD53" si="63">SUMIFS($L53:$AU53,$L$11:$AU$11,"&gt;"&amp;AV$11,$L$11:$AU$11,"&lt;="&amp;AW$11)</f>
        <v>0</v>
      </c>
      <c r="AX53" s="86">
        <f t="shared" si="63"/>
        <v>0</v>
      </c>
      <c r="AY53" s="86">
        <f t="shared" si="63"/>
        <v>0</v>
      </c>
      <c r="AZ53" s="86">
        <f t="shared" si="63"/>
        <v>0</v>
      </c>
      <c r="BA53" s="86">
        <f t="shared" si="63"/>
        <v>0</v>
      </c>
      <c r="BB53" s="86">
        <f t="shared" si="63"/>
        <v>0</v>
      </c>
      <c r="BC53" s="86">
        <f t="shared" si="63"/>
        <v>0</v>
      </c>
      <c r="BD53" s="86">
        <f t="shared" si="63"/>
        <v>0</v>
      </c>
      <c r="BE53" s="82"/>
      <c r="BF53" s="24">
        <f t="shared" ref="BF53:BG53" si="64">SUMIFS($AW53:$BD53,$AW$11:$BD$11,"&gt;"&amp;BE$11,$AW$11:$BD$11,"&lt;="&amp;BF$11)</f>
        <v>0</v>
      </c>
      <c r="BG53" s="24">
        <f t="shared" si="64"/>
        <v>0</v>
      </c>
      <c r="BH53" s="86"/>
      <c r="BI53" s="86"/>
      <c r="BJ53" s="86"/>
      <c r="BK53" s="82"/>
    </row>
    <row r="54" spans="2:63" hidden="1" outlineLevel="1" x14ac:dyDescent="0.2">
      <c r="B54" s="82"/>
      <c r="C54" s="81" t="s">
        <v>46</v>
      </c>
      <c r="D54" s="82"/>
      <c r="E54" s="82"/>
      <c r="F54" s="88">
        <v>100000</v>
      </c>
      <c r="G54" s="83">
        <f>F54/12</f>
        <v>8333.3333333333339</v>
      </c>
      <c r="H54" s="89">
        <v>45199</v>
      </c>
      <c r="I54" s="89">
        <v>45504</v>
      </c>
      <c r="J54" s="89"/>
      <c r="K54" s="82"/>
      <c r="L54" s="86">
        <f>IF(AND($H54&lt;='Sales, COGS, Sales Team'!L$13,$I54&gt;='Sales, COGS, Sales Team'!L$13),$G54,0)</f>
        <v>0</v>
      </c>
      <c r="M54" s="86">
        <f>IF(AND($H54&lt;='Sales, COGS, Sales Team'!M$13,$I54&gt;='Sales, COGS, Sales Team'!M$13),$G54,0)</f>
        <v>0</v>
      </c>
      <c r="N54" s="86">
        <f>IF(AND($H54&lt;='Sales, COGS, Sales Team'!N$13,$I54&gt;='Sales, COGS, Sales Team'!N$13),$G54,0)</f>
        <v>0</v>
      </c>
      <c r="O54" s="86">
        <f>IF(AND($H54&lt;='Sales, COGS, Sales Team'!O$13,$I54&gt;='Sales, COGS, Sales Team'!O$13),$G54,0)</f>
        <v>0</v>
      </c>
      <c r="P54" s="86">
        <f>IF(AND($H54&lt;='Sales, COGS, Sales Team'!P$13,$I54&gt;='Sales, COGS, Sales Team'!P$13),$G54,0)</f>
        <v>0</v>
      </c>
      <c r="Q54" s="86">
        <f>IF(AND($H54&lt;='Sales, COGS, Sales Team'!Q$13,$I54&gt;='Sales, COGS, Sales Team'!Q$13),$G54,0)</f>
        <v>0</v>
      </c>
      <c r="R54" s="86">
        <f>IF(AND($H54&lt;='Sales, COGS, Sales Team'!R$13,$I54&gt;='Sales, COGS, Sales Team'!R$13),$G54,0)</f>
        <v>0</v>
      </c>
      <c r="S54" s="86">
        <f>IF(AND($H54&lt;='Sales, COGS, Sales Team'!S$13,$I54&gt;='Sales, COGS, Sales Team'!S$13),$G54,0)</f>
        <v>0</v>
      </c>
      <c r="T54" s="86">
        <f>IF(AND($H54&lt;='Sales, COGS, Sales Team'!T$13,$I54&gt;='Sales, COGS, Sales Team'!T$13),$G54,0)</f>
        <v>8333.3333333333339</v>
      </c>
      <c r="U54" s="86">
        <f>IF(AND($H54&lt;='Sales, COGS, Sales Team'!U$13,$I54&gt;='Sales, COGS, Sales Team'!U$13),$G54,0)</f>
        <v>8333.3333333333339</v>
      </c>
      <c r="V54" s="86">
        <f>IF(AND($H54&lt;='Sales, COGS, Sales Team'!V$13,$I54&gt;='Sales, COGS, Sales Team'!V$13),$G54,0)</f>
        <v>8333.3333333333339</v>
      </c>
      <c r="W54" s="86">
        <f>IF(AND($H54&lt;='Sales, COGS, Sales Team'!W$13,$I54&gt;='Sales, COGS, Sales Team'!W$13),$G54,0)</f>
        <v>8333.3333333333339</v>
      </c>
      <c r="X54" s="86">
        <f>IF(AND($H54&lt;='Sales, COGS, Sales Team'!X$13,$I54&gt;='Sales, COGS, Sales Team'!X$13),$G54,0)</f>
        <v>8333.3333333333339</v>
      </c>
      <c r="Y54" s="86">
        <f>IF(AND($H54&lt;='Sales, COGS, Sales Team'!Y$13,$I54&gt;='Sales, COGS, Sales Team'!Y$13),$G54,0)</f>
        <v>8333.3333333333339</v>
      </c>
      <c r="Z54" s="86">
        <f>IF(AND($H54&lt;='Sales, COGS, Sales Team'!Z$13,$I54&gt;='Sales, COGS, Sales Team'!Z$13),$G54,0)</f>
        <v>8333.3333333333339</v>
      </c>
      <c r="AA54" s="86">
        <f>IF(AND($H54&lt;='Sales, COGS, Sales Team'!AA$13,$I54&gt;='Sales, COGS, Sales Team'!AA$13),$G54,0)</f>
        <v>8333.3333333333339</v>
      </c>
      <c r="AB54" s="86">
        <f>IF(AND($H54&lt;='Sales, COGS, Sales Team'!AB$13,$I54&gt;='Sales, COGS, Sales Team'!AB$13),$G54,0)</f>
        <v>8333.3333333333339</v>
      </c>
      <c r="AC54" s="86">
        <f>IF(AND($H54&lt;='Sales, COGS, Sales Team'!AC$13,$I54&gt;='Sales, COGS, Sales Team'!AC$13),$G54,0)</f>
        <v>8333.3333333333339</v>
      </c>
      <c r="AD54" s="86">
        <f>IF(AND($H54&lt;='Sales, COGS, Sales Team'!AD$13,$I54&gt;='Sales, COGS, Sales Team'!AD$13),$G54,0)</f>
        <v>8333.3333333333339</v>
      </c>
      <c r="AE54" s="86">
        <f>IF(AND($H54&lt;='Sales, COGS, Sales Team'!AE$13,$I54&gt;='Sales, COGS, Sales Team'!AE$13),$G54,0)</f>
        <v>0</v>
      </c>
      <c r="AF54" s="86">
        <f>IF(AND($H54&lt;='Sales, COGS, Sales Team'!AF$13,$I54&gt;='Sales, COGS, Sales Team'!AF$13),$G54,0)</f>
        <v>0</v>
      </c>
      <c r="AG54" s="86">
        <f>IF(AND($H54&lt;='Sales, COGS, Sales Team'!AG$13,$I54&gt;='Sales, COGS, Sales Team'!AG$13),$G54,0)</f>
        <v>0</v>
      </c>
      <c r="AH54" s="86">
        <f>IF(AND($H54&lt;='Sales, COGS, Sales Team'!AH$13,$I54&gt;='Sales, COGS, Sales Team'!AH$13),$G54,0)</f>
        <v>0</v>
      </c>
      <c r="AI54" s="86">
        <f>IF(AND($H54&lt;='Sales, COGS, Sales Team'!AI$13,$I54&gt;='Sales, COGS, Sales Team'!AI$13),$G54,0)</f>
        <v>0</v>
      </c>
      <c r="AJ54" s="86">
        <f>IF(AND($H54&lt;='Sales, COGS, Sales Team'!AJ$13,$I54&gt;='Sales, COGS, Sales Team'!AJ$13),$G54*(1+$G$56),0)</f>
        <v>0</v>
      </c>
      <c r="AK54" s="86">
        <f>IF(AND($H54&lt;='Sales, COGS, Sales Team'!AK$13,$I54&gt;='Sales, COGS, Sales Team'!AK$13),$G54*(1+$G$56),0)</f>
        <v>0</v>
      </c>
      <c r="AL54" s="86">
        <f>IF(AND($H54&lt;='Sales, COGS, Sales Team'!AL$13,$I54&gt;='Sales, COGS, Sales Team'!AL$13),$G54*(1+$G$56),0)</f>
        <v>0</v>
      </c>
      <c r="AM54" s="86">
        <f>IF(AND($H54&lt;='Sales, COGS, Sales Team'!AM$13,$I54&gt;='Sales, COGS, Sales Team'!AM$13),$G54*(1+$G$56),0)</f>
        <v>0</v>
      </c>
      <c r="AN54" s="86">
        <f>IF(AND($H54&lt;='Sales, COGS, Sales Team'!AN$13,$I54&gt;='Sales, COGS, Sales Team'!AN$13),$G54*(1+$G$56),0)</f>
        <v>0</v>
      </c>
      <c r="AO54" s="86">
        <f>IF(AND($H54&lt;='Sales, COGS, Sales Team'!AO$13,$I54&gt;='Sales, COGS, Sales Team'!AO$13),$G54*(1+$G$56),0)</f>
        <v>0</v>
      </c>
      <c r="AP54" s="86">
        <f>IF(AND($H54&lt;='Sales, COGS, Sales Team'!AP$13,$I54&gt;='Sales, COGS, Sales Team'!AP$13),$G54*(1+$G$56),0)</f>
        <v>0</v>
      </c>
      <c r="AQ54" s="86">
        <f>IF(AND($H54&lt;='Sales, COGS, Sales Team'!AQ$13,$I54&gt;='Sales, COGS, Sales Team'!AQ$13),$G54*(1+$G$56),0)</f>
        <v>0</v>
      </c>
      <c r="AR54" s="86">
        <f>IF(AND($H54&lt;='Sales, COGS, Sales Team'!AR$13,$I54&gt;='Sales, COGS, Sales Team'!AR$13),$G54*(1+$G$56),0)</f>
        <v>0</v>
      </c>
      <c r="AS54" s="86">
        <f>IF(AND($H54&lt;='Sales, COGS, Sales Team'!AS$13,$I54&gt;='Sales, COGS, Sales Team'!AS$13),$G54*(1+$G$56),0)</f>
        <v>0</v>
      </c>
      <c r="AT54" s="86">
        <f>IF(AND($H54&lt;='Sales, COGS, Sales Team'!AT$13,$I54&gt;='Sales, COGS, Sales Team'!AT$13),$G54*(1+$G$56),0)</f>
        <v>0</v>
      </c>
      <c r="AU54" s="86">
        <f>IF(AND($H54&lt;='Sales, COGS, Sales Team'!AU$13,$I54&gt;='Sales, COGS, Sales Team'!AU$13),$G54*(1+$G$56),0)</f>
        <v>0</v>
      </c>
      <c r="AV54" s="82"/>
      <c r="AW54" s="86">
        <f t="shared" ref="AW54:BD54" si="65">SUMIFS($L54:$AU54,$L$11:$AU$11,"&gt;"&amp;AV$11,$L$11:$AU$11,"&lt;="&amp;AW$11)</f>
        <v>25000</v>
      </c>
      <c r="AX54" s="86">
        <f t="shared" si="65"/>
        <v>25000</v>
      </c>
      <c r="AY54" s="86">
        <f t="shared" si="65"/>
        <v>8333.3333333333339</v>
      </c>
      <c r="AZ54" s="86">
        <f t="shared" si="65"/>
        <v>0</v>
      </c>
      <c r="BA54" s="86">
        <f t="shared" si="65"/>
        <v>0</v>
      </c>
      <c r="BB54" s="86">
        <f t="shared" si="65"/>
        <v>0</v>
      </c>
      <c r="BC54" s="86">
        <f t="shared" si="65"/>
        <v>0</v>
      </c>
      <c r="BD54" s="86">
        <f t="shared" si="65"/>
        <v>0</v>
      </c>
      <c r="BE54" s="82"/>
      <c r="BF54" s="24">
        <f t="shared" ref="BF54:BG54" si="66">SUMIFS($AW54:$BD54,$AW$11:$BD$11,"&gt;"&amp;BE$11,$AW$11:$BD$11,"&lt;="&amp;BF$11)</f>
        <v>58333.333333333336</v>
      </c>
      <c r="BG54" s="24">
        <f t="shared" si="66"/>
        <v>0</v>
      </c>
      <c r="BH54" s="86"/>
      <c r="BI54" s="86"/>
      <c r="BJ54" s="86"/>
      <c r="BK54" s="82"/>
    </row>
    <row r="55" spans="2:63" hidden="1" outlineLevel="1" x14ac:dyDescent="0.2">
      <c r="B55" s="82"/>
      <c r="C55" s="90" t="s">
        <v>4</v>
      </c>
      <c r="D55" s="82"/>
      <c r="E55" s="82"/>
      <c r="F55" s="88">
        <v>35000</v>
      </c>
      <c r="G55" s="83">
        <f>F55</f>
        <v>35000</v>
      </c>
      <c r="H55" s="89">
        <v>45199</v>
      </c>
      <c r="I55" s="89">
        <v>45199</v>
      </c>
      <c r="J55" s="89"/>
      <c r="K55" s="82"/>
      <c r="L55" s="86">
        <f>IF(AND($H55&lt;='Sales, COGS, Sales Team'!L$13,$I55&gt;='Sales, COGS, Sales Team'!L$13),$G55,0)</f>
        <v>0</v>
      </c>
      <c r="M55" s="86">
        <f>IF(AND($H55&lt;='Sales, COGS, Sales Team'!M$13,$I55&gt;='Sales, COGS, Sales Team'!M$13),$G55,0)</f>
        <v>0</v>
      </c>
      <c r="N55" s="86">
        <f>IF(AND($H55&lt;='Sales, COGS, Sales Team'!N$13,$I55&gt;='Sales, COGS, Sales Team'!N$13),$G55,0)</f>
        <v>0</v>
      </c>
      <c r="O55" s="86">
        <f>IF(AND($H55&lt;='Sales, COGS, Sales Team'!O$13,$I55&gt;='Sales, COGS, Sales Team'!O$13),$G55,0)</f>
        <v>0</v>
      </c>
      <c r="P55" s="86">
        <f>IF(AND($H55&lt;='Sales, COGS, Sales Team'!P$13,$I55&gt;='Sales, COGS, Sales Team'!P$13),$G55,0)</f>
        <v>0</v>
      </c>
      <c r="Q55" s="86">
        <f>IF(AND($H55&lt;='Sales, COGS, Sales Team'!Q$13,$I55&gt;='Sales, COGS, Sales Team'!Q$13),$G55,0)</f>
        <v>0</v>
      </c>
      <c r="R55" s="86">
        <f>IF(AND($H55&lt;='Sales, COGS, Sales Team'!R$13,$I55&gt;='Sales, COGS, Sales Team'!R$13),$G55,0)</f>
        <v>0</v>
      </c>
      <c r="S55" s="86">
        <f>IF(AND($H55&lt;='Sales, COGS, Sales Team'!S$13,$I55&gt;='Sales, COGS, Sales Team'!S$13),$G55,0)</f>
        <v>0</v>
      </c>
      <c r="T55" s="86">
        <f>IF(AND($H55&lt;='Sales, COGS, Sales Team'!T$13,$I55&gt;='Sales, COGS, Sales Team'!T$13),$G55,0)</f>
        <v>35000</v>
      </c>
      <c r="U55" s="86">
        <f>IF(AND($H55&lt;='Sales, COGS, Sales Team'!U$13,$I55&gt;='Sales, COGS, Sales Team'!U$13),$G55,0)</f>
        <v>0</v>
      </c>
      <c r="V55" s="86">
        <f>IF(AND($H55&lt;='Sales, COGS, Sales Team'!V$13,$I55&gt;='Sales, COGS, Sales Team'!V$13),$G55,0)</f>
        <v>0</v>
      </c>
      <c r="W55" s="86">
        <f>IF(AND($H55&lt;='Sales, COGS, Sales Team'!W$13,$I55&gt;='Sales, COGS, Sales Team'!W$13),$G55,0)</f>
        <v>0</v>
      </c>
      <c r="X55" s="86">
        <f>IF(AND($H55&lt;='Sales, COGS, Sales Team'!X$13,$I55&gt;='Sales, COGS, Sales Team'!X$13),$G55,0)</f>
        <v>0</v>
      </c>
      <c r="Y55" s="86">
        <f>IF(AND($H55&lt;='Sales, COGS, Sales Team'!Y$13,$I55&gt;='Sales, COGS, Sales Team'!Y$13),$G55,0)</f>
        <v>0</v>
      </c>
      <c r="Z55" s="86">
        <f>IF(AND($H55&lt;='Sales, COGS, Sales Team'!Z$13,$I55&gt;='Sales, COGS, Sales Team'!Z$13),$G55,0)</f>
        <v>0</v>
      </c>
      <c r="AA55" s="86">
        <f>IF(AND($H55&lt;='Sales, COGS, Sales Team'!AA$13,$I55&gt;='Sales, COGS, Sales Team'!AA$13),$G55,0)</f>
        <v>0</v>
      </c>
      <c r="AB55" s="86">
        <f>IF(AND($H55&lt;='Sales, COGS, Sales Team'!AB$13,$I55&gt;='Sales, COGS, Sales Team'!AB$13),$G55,0)</f>
        <v>0</v>
      </c>
      <c r="AC55" s="86">
        <f>IF(AND($H55&lt;='Sales, COGS, Sales Team'!AC$13,$I55&gt;='Sales, COGS, Sales Team'!AC$13),$G55,0)</f>
        <v>0</v>
      </c>
      <c r="AD55" s="86">
        <f>IF(AND($H55&lt;='Sales, COGS, Sales Team'!AD$13,$I55&gt;='Sales, COGS, Sales Team'!AD$13),$G55,0)</f>
        <v>0</v>
      </c>
      <c r="AE55" s="86">
        <f>IF(AND($H55&lt;='Sales, COGS, Sales Team'!AE$13,$I55&gt;='Sales, COGS, Sales Team'!AE$13),$G55,0)</f>
        <v>0</v>
      </c>
      <c r="AF55" s="86">
        <f>IF(AND($H55&lt;='Sales, COGS, Sales Team'!AF$13,$I55&gt;='Sales, COGS, Sales Team'!AF$13),$G55,0)</f>
        <v>0</v>
      </c>
      <c r="AG55" s="86">
        <f>IF(AND($H55&lt;='Sales, COGS, Sales Team'!AG$13,$I55&gt;='Sales, COGS, Sales Team'!AG$13),$G55,0)</f>
        <v>0</v>
      </c>
      <c r="AH55" s="86">
        <f>IF(AND($H55&lt;='Sales, COGS, Sales Team'!AH$13,$I55&gt;='Sales, COGS, Sales Team'!AH$13),$G55,0)</f>
        <v>0</v>
      </c>
      <c r="AI55" s="86">
        <f>IF(AND($H55&lt;='Sales, COGS, Sales Team'!AI$13,$I55&gt;='Sales, COGS, Sales Team'!AI$13),$G55,0)</f>
        <v>0</v>
      </c>
      <c r="AJ55" s="86">
        <f>IF(AND($H55&lt;='Sales, COGS, Sales Team'!AJ$13,$I55&gt;='Sales, COGS, Sales Team'!AJ$13),$G55*(1+$G$56),0)</f>
        <v>0</v>
      </c>
      <c r="AK55" s="86">
        <f>IF(AND($H55&lt;='Sales, COGS, Sales Team'!AK$13,$I55&gt;='Sales, COGS, Sales Team'!AK$13),$G55*(1+$G$56),0)</f>
        <v>0</v>
      </c>
      <c r="AL55" s="86">
        <f>IF(AND($H55&lt;='Sales, COGS, Sales Team'!AL$13,$I55&gt;='Sales, COGS, Sales Team'!AL$13),$G55*(1+$G$56),0)</f>
        <v>0</v>
      </c>
      <c r="AM55" s="86">
        <f>IF(AND($H55&lt;='Sales, COGS, Sales Team'!AM$13,$I55&gt;='Sales, COGS, Sales Team'!AM$13),$G55*(1+$G$56),0)</f>
        <v>0</v>
      </c>
      <c r="AN55" s="86">
        <f>IF(AND($H55&lt;='Sales, COGS, Sales Team'!AN$13,$I55&gt;='Sales, COGS, Sales Team'!AN$13),$G55*(1+$G$56),0)</f>
        <v>0</v>
      </c>
      <c r="AO55" s="86">
        <f>IF(AND($H55&lt;='Sales, COGS, Sales Team'!AO$13,$I55&gt;='Sales, COGS, Sales Team'!AO$13),$G55*(1+$G$56),0)</f>
        <v>0</v>
      </c>
      <c r="AP55" s="86">
        <f>IF(AND($H55&lt;='Sales, COGS, Sales Team'!AP$13,$I55&gt;='Sales, COGS, Sales Team'!AP$13),$G55*(1+$G$56),0)</f>
        <v>0</v>
      </c>
      <c r="AQ55" s="86">
        <f>IF(AND($H55&lt;='Sales, COGS, Sales Team'!AQ$13,$I55&gt;='Sales, COGS, Sales Team'!AQ$13),$G55*(1+$G$56),0)</f>
        <v>0</v>
      </c>
      <c r="AR55" s="86">
        <f>IF(AND($H55&lt;='Sales, COGS, Sales Team'!AR$13,$I55&gt;='Sales, COGS, Sales Team'!AR$13),$G55*(1+$G$56),0)</f>
        <v>0</v>
      </c>
      <c r="AS55" s="86">
        <f>IF(AND($H55&lt;='Sales, COGS, Sales Team'!AS$13,$I55&gt;='Sales, COGS, Sales Team'!AS$13),$G55*(1+$G$56),0)</f>
        <v>0</v>
      </c>
      <c r="AT55" s="86">
        <f>IF(AND($H55&lt;='Sales, COGS, Sales Team'!AT$13,$I55&gt;='Sales, COGS, Sales Team'!AT$13),$G55*(1+$G$56),0)</f>
        <v>0</v>
      </c>
      <c r="AU55" s="86">
        <f>IF(AND($H55&lt;='Sales, COGS, Sales Team'!AU$13,$I55&gt;='Sales, COGS, Sales Team'!AU$13),$G55*(1+$G$56),0)</f>
        <v>0</v>
      </c>
      <c r="AV55" s="82"/>
      <c r="AW55" s="91">
        <f t="shared" ref="AW55:BD55" si="67">SUMIFS($L55:$AU55,$L$11:$AU$11,"&gt;"&amp;AV$11,$L$11:$AU$11,"&lt;="&amp;AW$11)</f>
        <v>0</v>
      </c>
      <c r="AX55" s="91">
        <f t="shared" si="67"/>
        <v>0</v>
      </c>
      <c r="AY55" s="91">
        <f t="shared" si="67"/>
        <v>0</v>
      </c>
      <c r="AZ55" s="91">
        <f t="shared" si="67"/>
        <v>0</v>
      </c>
      <c r="BA55" s="91">
        <f t="shared" si="67"/>
        <v>0</v>
      </c>
      <c r="BB55" s="91">
        <f t="shared" si="67"/>
        <v>0</v>
      </c>
      <c r="BC55" s="91">
        <f t="shared" si="67"/>
        <v>0</v>
      </c>
      <c r="BD55" s="91">
        <f t="shared" si="67"/>
        <v>0</v>
      </c>
      <c r="BE55" s="82"/>
      <c r="BF55" s="76">
        <f t="shared" ref="BF55:BG55" si="68">SUMIFS($AW55:$BD55,$AW$11:$BD$11,"&gt;"&amp;BE$11,$AW$11:$BD$11,"&lt;="&amp;BF$11)</f>
        <v>0</v>
      </c>
      <c r="BG55" s="76">
        <f t="shared" si="68"/>
        <v>0</v>
      </c>
      <c r="BH55" s="91"/>
      <c r="BI55" s="91"/>
      <c r="BJ55" s="91"/>
      <c r="BK55" s="82"/>
    </row>
    <row r="56" spans="2:63" collapsed="1" x14ac:dyDescent="0.2">
      <c r="C56" s="23" t="s">
        <v>120</v>
      </c>
      <c r="G56" s="185">
        <f>'Key Assumptions + Summary'!E78</f>
        <v>0.03</v>
      </c>
      <c r="H56" s="185">
        <f>'Key Assumptions + Summary'!F78</f>
        <v>0.03</v>
      </c>
      <c r="I56" s="185">
        <f>'Key Assumptions + Summary'!G78</f>
        <v>0.03</v>
      </c>
      <c r="J56" s="185">
        <f>'Key Assumptions + Summary'!H78</f>
        <v>0.03</v>
      </c>
      <c r="L56" s="24">
        <f t="shared" ref="L56:AU56" si="69">SUM(L53:L55)</f>
        <v>0</v>
      </c>
      <c r="M56" s="24">
        <f t="shared" si="69"/>
        <v>0</v>
      </c>
      <c r="N56" s="24">
        <f t="shared" si="69"/>
        <v>0</v>
      </c>
      <c r="O56" s="24">
        <f t="shared" si="69"/>
        <v>0</v>
      </c>
      <c r="P56" s="24">
        <f t="shared" si="69"/>
        <v>0</v>
      </c>
      <c r="Q56" s="24">
        <f t="shared" si="69"/>
        <v>0</v>
      </c>
      <c r="R56" s="24">
        <f t="shared" si="69"/>
        <v>0</v>
      </c>
      <c r="S56" s="24">
        <f t="shared" si="69"/>
        <v>0</v>
      </c>
      <c r="T56" s="24">
        <f t="shared" si="69"/>
        <v>143333.33333333331</v>
      </c>
      <c r="U56" s="24">
        <f t="shared" si="69"/>
        <v>8333.3333333333339</v>
      </c>
      <c r="V56" s="24">
        <f t="shared" si="69"/>
        <v>8333.3333333333339</v>
      </c>
      <c r="W56" s="24">
        <f t="shared" si="69"/>
        <v>8333.3333333333339</v>
      </c>
      <c r="X56" s="24">
        <f t="shared" si="69"/>
        <v>8333.3333333333339</v>
      </c>
      <c r="Y56" s="24">
        <f t="shared" si="69"/>
        <v>8333.3333333333339</v>
      </c>
      <c r="Z56" s="24">
        <f t="shared" si="69"/>
        <v>8333.3333333333339</v>
      </c>
      <c r="AA56" s="24">
        <f t="shared" si="69"/>
        <v>8333.3333333333339</v>
      </c>
      <c r="AB56" s="24">
        <f t="shared" si="69"/>
        <v>8333.3333333333339</v>
      </c>
      <c r="AC56" s="24">
        <f t="shared" si="69"/>
        <v>8333.3333333333339</v>
      </c>
      <c r="AD56" s="24">
        <f t="shared" si="69"/>
        <v>8333.3333333333339</v>
      </c>
      <c r="AE56" s="24">
        <f t="shared" si="69"/>
        <v>0</v>
      </c>
      <c r="AF56" s="24">
        <f t="shared" si="69"/>
        <v>0</v>
      </c>
      <c r="AG56" s="24">
        <f t="shared" si="69"/>
        <v>0</v>
      </c>
      <c r="AH56" s="24">
        <f t="shared" si="69"/>
        <v>0</v>
      </c>
      <c r="AI56" s="24">
        <f t="shared" si="69"/>
        <v>0</v>
      </c>
      <c r="AJ56" s="24">
        <f t="shared" si="69"/>
        <v>0</v>
      </c>
      <c r="AK56" s="24">
        <f t="shared" si="69"/>
        <v>0</v>
      </c>
      <c r="AL56" s="24">
        <f t="shared" si="69"/>
        <v>0</v>
      </c>
      <c r="AM56" s="24">
        <f t="shared" si="69"/>
        <v>0</v>
      </c>
      <c r="AN56" s="24">
        <f t="shared" si="69"/>
        <v>0</v>
      </c>
      <c r="AO56" s="24">
        <f t="shared" si="69"/>
        <v>0</v>
      </c>
      <c r="AP56" s="24">
        <f t="shared" si="69"/>
        <v>0</v>
      </c>
      <c r="AQ56" s="24">
        <f t="shared" si="69"/>
        <v>0</v>
      </c>
      <c r="AR56" s="24">
        <f t="shared" si="69"/>
        <v>0</v>
      </c>
      <c r="AS56" s="24">
        <f t="shared" si="69"/>
        <v>0</v>
      </c>
      <c r="AT56" s="24">
        <f t="shared" si="69"/>
        <v>0</v>
      </c>
      <c r="AU56" s="24">
        <f t="shared" si="69"/>
        <v>0</v>
      </c>
      <c r="AW56" s="24">
        <f t="shared" ref="AW56:BD56" si="70">SUM(AW53:AW55)</f>
        <v>25000</v>
      </c>
      <c r="AX56" s="24">
        <f t="shared" si="70"/>
        <v>25000</v>
      </c>
      <c r="AY56" s="24">
        <f t="shared" si="70"/>
        <v>8333.3333333333339</v>
      </c>
      <c r="AZ56" s="24">
        <f t="shared" si="70"/>
        <v>0</v>
      </c>
      <c r="BA56" s="24">
        <f t="shared" si="70"/>
        <v>0</v>
      </c>
      <c r="BB56" s="24">
        <f t="shared" si="70"/>
        <v>0</v>
      </c>
      <c r="BC56" s="24">
        <f t="shared" si="70"/>
        <v>0</v>
      </c>
      <c r="BD56" s="24">
        <f t="shared" si="70"/>
        <v>0</v>
      </c>
      <c r="BF56" s="24">
        <f>SUM(BF53:BF55)</f>
        <v>58333.333333333336</v>
      </c>
      <c r="BG56" s="24">
        <f>SUM(BG53:BG55)</f>
        <v>0</v>
      </c>
      <c r="BH56" s="24">
        <f>BG56*(1+H56)</f>
        <v>0</v>
      </c>
      <c r="BI56" s="24">
        <f>BH56*(1+I56)</f>
        <v>0</v>
      </c>
      <c r="BJ56" s="24">
        <f>BI56*(1+J56)</f>
        <v>0</v>
      </c>
    </row>
    <row r="57" spans="2:63" ht="15" hidden="1" outlineLevel="1" x14ac:dyDescent="0.35">
      <c r="C57" s="46"/>
      <c r="F57" s="69"/>
      <c r="G57" s="69" t="s">
        <v>98</v>
      </c>
      <c r="H57" s="69" t="s">
        <v>31</v>
      </c>
      <c r="I57" s="69" t="s">
        <v>72</v>
      </c>
    </row>
    <row r="58" spans="2:63" hidden="1" outlineLevel="1" x14ac:dyDescent="0.2">
      <c r="B58" s="82"/>
      <c r="C58" s="81" t="s">
        <v>91</v>
      </c>
      <c r="D58" s="82"/>
      <c r="E58" s="82"/>
      <c r="F58" s="252">
        <f>'Key Assumptions + Summary'!D50</f>
        <v>1500000</v>
      </c>
      <c r="G58" s="83" t="str">
        <f>IFERROR(F58/(DATEDIF(H58,I58,"M")),"na")</f>
        <v>na</v>
      </c>
      <c r="H58" s="335" t="str">
        <f>'Key Assumptions + Summary'!E49</f>
        <v>-</v>
      </c>
      <c r="I58" s="335" t="str">
        <f>'Key Assumptions + Summary'!G49</f>
        <v>-</v>
      </c>
      <c r="K58" s="82"/>
      <c r="L58" s="86">
        <f>IF(AND($H58&lt;=L$13,$I58&gt;=L$13),$G58,0)</f>
        <v>0</v>
      </c>
      <c r="M58" s="86">
        <f t="shared" ref="M58:AU63" si="71">IF(AND($H58&lt;=M$13,$I58&gt;=M$13),$G58,0)</f>
        <v>0</v>
      </c>
      <c r="N58" s="86">
        <f t="shared" si="71"/>
        <v>0</v>
      </c>
      <c r="O58" s="86">
        <f t="shared" si="71"/>
        <v>0</v>
      </c>
      <c r="P58" s="86">
        <f t="shared" si="71"/>
        <v>0</v>
      </c>
      <c r="Q58" s="86">
        <f t="shared" si="71"/>
        <v>0</v>
      </c>
      <c r="R58" s="86">
        <f t="shared" si="71"/>
        <v>0</v>
      </c>
      <c r="S58" s="86">
        <f t="shared" si="71"/>
        <v>0</v>
      </c>
      <c r="T58" s="86">
        <f t="shared" si="71"/>
        <v>0</v>
      </c>
      <c r="U58" s="86">
        <f t="shared" si="71"/>
        <v>0</v>
      </c>
      <c r="V58" s="86">
        <f t="shared" si="71"/>
        <v>0</v>
      </c>
      <c r="W58" s="86">
        <f t="shared" si="71"/>
        <v>0</v>
      </c>
      <c r="X58" s="86">
        <f t="shared" si="71"/>
        <v>0</v>
      </c>
      <c r="Y58" s="86">
        <f t="shared" si="71"/>
        <v>0</v>
      </c>
      <c r="Z58" s="86">
        <f t="shared" si="71"/>
        <v>0</v>
      </c>
      <c r="AA58" s="86">
        <f t="shared" si="71"/>
        <v>0</v>
      </c>
      <c r="AB58" s="86">
        <f t="shared" si="71"/>
        <v>0</v>
      </c>
      <c r="AC58" s="86">
        <f t="shared" si="71"/>
        <v>0</v>
      </c>
      <c r="AD58" s="86">
        <f t="shared" si="71"/>
        <v>0</v>
      </c>
      <c r="AE58" s="86">
        <f t="shared" si="71"/>
        <v>0</v>
      </c>
      <c r="AF58" s="86">
        <f t="shared" si="71"/>
        <v>0</v>
      </c>
      <c r="AG58" s="86">
        <f t="shared" si="71"/>
        <v>0</v>
      </c>
      <c r="AH58" s="86">
        <f t="shared" si="71"/>
        <v>0</v>
      </c>
      <c r="AI58" s="86">
        <f t="shared" si="71"/>
        <v>0</v>
      </c>
      <c r="AJ58" s="86">
        <f t="shared" si="71"/>
        <v>0</v>
      </c>
      <c r="AK58" s="86">
        <f t="shared" si="71"/>
        <v>0</v>
      </c>
      <c r="AL58" s="86">
        <f t="shared" si="71"/>
        <v>0</v>
      </c>
      <c r="AM58" s="86">
        <f t="shared" si="71"/>
        <v>0</v>
      </c>
      <c r="AN58" s="86">
        <f t="shared" si="71"/>
        <v>0</v>
      </c>
      <c r="AO58" s="86">
        <f t="shared" si="71"/>
        <v>0</v>
      </c>
      <c r="AP58" s="86">
        <f t="shared" si="71"/>
        <v>0</v>
      </c>
      <c r="AQ58" s="86">
        <f t="shared" si="71"/>
        <v>0</v>
      </c>
      <c r="AR58" s="86">
        <f t="shared" si="71"/>
        <v>0</v>
      </c>
      <c r="AS58" s="86">
        <f t="shared" si="71"/>
        <v>0</v>
      </c>
      <c r="AT58" s="86">
        <f t="shared" si="71"/>
        <v>0</v>
      </c>
      <c r="AU58" s="86">
        <f t="shared" si="71"/>
        <v>0</v>
      </c>
      <c r="AV58" s="82"/>
      <c r="AW58" s="86">
        <f t="shared" ref="AW58:BD58" si="72">SUMIFS($L58:$AU58,$L$11:$AU$11,"&gt;"&amp;AV$11,$L$11:$AU$11,"&lt;="&amp;AW$11)</f>
        <v>0</v>
      </c>
      <c r="AX58" s="86">
        <f t="shared" si="72"/>
        <v>0</v>
      </c>
      <c r="AY58" s="86">
        <f t="shared" si="72"/>
        <v>0</v>
      </c>
      <c r="AZ58" s="86">
        <f t="shared" si="72"/>
        <v>0</v>
      </c>
      <c r="BA58" s="86">
        <f t="shared" si="72"/>
        <v>0</v>
      </c>
      <c r="BB58" s="86">
        <f t="shared" si="72"/>
        <v>0</v>
      </c>
      <c r="BC58" s="86">
        <f t="shared" si="72"/>
        <v>0</v>
      </c>
      <c r="BD58" s="86">
        <f t="shared" si="72"/>
        <v>0</v>
      </c>
      <c r="BE58" s="82"/>
      <c r="BF58" s="86">
        <f t="shared" ref="BF58:BG58" si="73">SUMIFS($AW58:$BD58,$AW$11:$BD$11,"&gt;"&amp;BE$11,$AW$11:$BD$11,"&lt;="&amp;BF$11)</f>
        <v>0</v>
      </c>
      <c r="BG58" s="86">
        <f t="shared" si="73"/>
        <v>0</v>
      </c>
      <c r="BH58" s="86">
        <f>IF(AND($H58&lt;=BH$13,$I58&gt;=BH$13),$F58,0)</f>
        <v>0</v>
      </c>
      <c r="BI58" s="86">
        <f t="shared" ref="BI58:BJ58" si="74">IF(AND($H58&lt;=BI$13,$I58&gt;=BI$13),$F58,0)</f>
        <v>0</v>
      </c>
      <c r="BJ58" s="86">
        <f t="shared" si="74"/>
        <v>0</v>
      </c>
      <c r="BK58" s="82"/>
    </row>
    <row r="59" spans="2:63" hidden="1" outlineLevel="1" x14ac:dyDescent="0.2">
      <c r="B59" s="82"/>
      <c r="C59" s="81" t="s">
        <v>96</v>
      </c>
      <c r="D59" s="82"/>
      <c r="E59" s="82"/>
      <c r="F59" s="252">
        <f>'Key Assumptions + Summary'!D51</f>
        <v>770000</v>
      </c>
      <c r="G59" s="83">
        <f>IFERROR(F59/(DATEDIF(H59,I59,"M")+1),"na")</f>
        <v>59230.769230769234</v>
      </c>
      <c r="H59" s="335">
        <f>'Key Assumptions + Summary'!E50</f>
        <v>45322</v>
      </c>
      <c r="I59" s="335">
        <f>'Key Assumptions + Summary'!G50</f>
        <v>45688</v>
      </c>
      <c r="K59" s="82"/>
      <c r="L59" s="86">
        <f t="shared" ref="L59:AA63" si="75">IF(AND($H59&lt;=L$13,$I59&gt;=L$13),$G59,0)</f>
        <v>0</v>
      </c>
      <c r="M59" s="86">
        <f t="shared" si="71"/>
        <v>0</v>
      </c>
      <c r="N59" s="86">
        <f t="shared" si="71"/>
        <v>0</v>
      </c>
      <c r="O59" s="86">
        <f t="shared" si="71"/>
        <v>0</v>
      </c>
      <c r="P59" s="86">
        <f t="shared" si="71"/>
        <v>0</v>
      </c>
      <c r="Q59" s="86">
        <f t="shared" si="71"/>
        <v>0</v>
      </c>
      <c r="R59" s="86">
        <f t="shared" si="71"/>
        <v>0</v>
      </c>
      <c r="S59" s="86">
        <f t="shared" si="71"/>
        <v>0</v>
      </c>
      <c r="T59" s="86">
        <f t="shared" si="71"/>
        <v>0</v>
      </c>
      <c r="U59" s="86">
        <f t="shared" si="71"/>
        <v>0</v>
      </c>
      <c r="V59" s="86">
        <f t="shared" si="71"/>
        <v>0</v>
      </c>
      <c r="W59" s="86">
        <f t="shared" si="71"/>
        <v>0</v>
      </c>
      <c r="X59" s="86">
        <f t="shared" si="71"/>
        <v>59230.769230769234</v>
      </c>
      <c r="Y59" s="86">
        <f t="shared" si="71"/>
        <v>59230.769230769234</v>
      </c>
      <c r="Z59" s="86">
        <f t="shared" si="71"/>
        <v>59230.769230769234</v>
      </c>
      <c r="AA59" s="86">
        <f t="shared" si="71"/>
        <v>59230.769230769234</v>
      </c>
      <c r="AB59" s="86">
        <f t="shared" si="71"/>
        <v>59230.769230769234</v>
      </c>
      <c r="AC59" s="86">
        <f t="shared" si="71"/>
        <v>59230.769230769234</v>
      </c>
      <c r="AD59" s="86">
        <f t="shared" si="71"/>
        <v>59230.769230769234</v>
      </c>
      <c r="AE59" s="86">
        <f t="shared" si="71"/>
        <v>59230.769230769234</v>
      </c>
      <c r="AF59" s="86">
        <f t="shared" si="71"/>
        <v>59230.769230769234</v>
      </c>
      <c r="AG59" s="86">
        <f t="shared" si="71"/>
        <v>59230.769230769234</v>
      </c>
      <c r="AH59" s="86">
        <f t="shared" si="71"/>
        <v>59230.769230769234</v>
      </c>
      <c r="AI59" s="86">
        <f t="shared" si="71"/>
        <v>59230.769230769234</v>
      </c>
      <c r="AJ59" s="86">
        <f t="shared" si="71"/>
        <v>59230.769230769234</v>
      </c>
      <c r="AK59" s="86">
        <f t="shared" si="71"/>
        <v>0</v>
      </c>
      <c r="AL59" s="86">
        <f t="shared" si="71"/>
        <v>0</v>
      </c>
      <c r="AM59" s="86">
        <f t="shared" si="71"/>
        <v>0</v>
      </c>
      <c r="AN59" s="86">
        <f t="shared" si="71"/>
        <v>0</v>
      </c>
      <c r="AO59" s="86">
        <f t="shared" si="71"/>
        <v>0</v>
      </c>
      <c r="AP59" s="86">
        <f t="shared" si="71"/>
        <v>0</v>
      </c>
      <c r="AQ59" s="86">
        <f t="shared" si="71"/>
        <v>0</v>
      </c>
      <c r="AR59" s="86">
        <f t="shared" si="71"/>
        <v>0</v>
      </c>
      <c r="AS59" s="86">
        <f t="shared" si="71"/>
        <v>0</v>
      </c>
      <c r="AT59" s="86">
        <f t="shared" si="71"/>
        <v>0</v>
      </c>
      <c r="AU59" s="86">
        <f t="shared" si="71"/>
        <v>0</v>
      </c>
      <c r="AV59" s="82"/>
      <c r="AW59" s="86">
        <f t="shared" ref="AW59:BD59" si="76">SUMIFS($L59:$AU59,$L$11:$AU$11,"&gt;"&amp;AV$11,$L$11:$AU$11,"&lt;="&amp;AW$11)</f>
        <v>177692.30769230769</v>
      </c>
      <c r="AX59" s="86">
        <f t="shared" si="76"/>
        <v>177692.30769230769</v>
      </c>
      <c r="AY59" s="86">
        <f t="shared" si="76"/>
        <v>177692.30769230769</v>
      </c>
      <c r="AZ59" s="86">
        <f t="shared" si="76"/>
        <v>177692.30769230769</v>
      </c>
      <c r="BA59" s="86">
        <f t="shared" si="76"/>
        <v>59230.769230769234</v>
      </c>
      <c r="BB59" s="86">
        <f t="shared" si="76"/>
        <v>0</v>
      </c>
      <c r="BC59" s="86">
        <f t="shared" si="76"/>
        <v>0</v>
      </c>
      <c r="BD59" s="86">
        <f t="shared" si="76"/>
        <v>0</v>
      </c>
      <c r="BE59" s="82"/>
      <c r="BF59" s="86">
        <f t="shared" ref="BF59:BG59" si="77">SUMIFS($AW59:$BD59,$AW$11:$BD$11,"&gt;"&amp;BE$11,$AW$11:$BD$11,"&lt;="&amp;BF$11)</f>
        <v>710769.23076923075</v>
      </c>
      <c r="BG59" s="86">
        <f t="shared" si="77"/>
        <v>59230.769230769234</v>
      </c>
      <c r="BH59" s="86">
        <f t="shared" ref="BH59:BJ63" si="78">IF(AND($H59&lt;=BH$13,$I59&gt;=BH$13),$F59,0)</f>
        <v>0</v>
      </c>
      <c r="BI59" s="86">
        <f t="shared" si="78"/>
        <v>0</v>
      </c>
      <c r="BJ59" s="86">
        <f t="shared" si="78"/>
        <v>0</v>
      </c>
      <c r="BK59" s="82"/>
    </row>
    <row r="60" spans="2:63" hidden="1" outlineLevel="1" x14ac:dyDescent="0.2">
      <c r="B60" s="82"/>
      <c r="C60" s="81" t="s">
        <v>92</v>
      </c>
      <c r="D60" s="82"/>
      <c r="E60" s="82"/>
      <c r="F60" s="252">
        <f>'Key Assumptions + Summary'!D52</f>
        <v>750000</v>
      </c>
      <c r="G60" s="83" t="str">
        <f t="shared" ref="G60:G63" si="79">IFERROR(F60/(DATEDIF(H60,I60,"M")+1),"na")</f>
        <v>na</v>
      </c>
      <c r="H60" s="335" t="str">
        <f>'Key Assumptions + Summary'!E51</f>
        <v>-</v>
      </c>
      <c r="I60" s="335" t="str">
        <f>'Key Assumptions + Summary'!G51</f>
        <v>-</v>
      </c>
      <c r="K60" s="82"/>
      <c r="L60" s="86">
        <f t="shared" si="75"/>
        <v>0</v>
      </c>
      <c r="M60" s="86">
        <f t="shared" si="71"/>
        <v>0</v>
      </c>
      <c r="N60" s="86">
        <f t="shared" si="71"/>
        <v>0</v>
      </c>
      <c r="O60" s="86">
        <f t="shared" si="71"/>
        <v>0</v>
      </c>
      <c r="P60" s="86">
        <f t="shared" si="71"/>
        <v>0</v>
      </c>
      <c r="Q60" s="86">
        <f t="shared" si="71"/>
        <v>0</v>
      </c>
      <c r="R60" s="86">
        <f t="shared" si="71"/>
        <v>0</v>
      </c>
      <c r="S60" s="86">
        <f t="shared" si="71"/>
        <v>0</v>
      </c>
      <c r="T60" s="86">
        <f t="shared" si="71"/>
        <v>0</v>
      </c>
      <c r="U60" s="86">
        <f t="shared" si="71"/>
        <v>0</v>
      </c>
      <c r="V60" s="86">
        <f t="shared" si="71"/>
        <v>0</v>
      </c>
      <c r="W60" s="86">
        <f t="shared" si="71"/>
        <v>0</v>
      </c>
      <c r="X60" s="86">
        <f t="shared" si="71"/>
        <v>0</v>
      </c>
      <c r="Y60" s="86">
        <f t="shared" si="71"/>
        <v>0</v>
      </c>
      <c r="Z60" s="86">
        <f t="shared" si="71"/>
        <v>0</v>
      </c>
      <c r="AA60" s="86">
        <f t="shared" si="71"/>
        <v>0</v>
      </c>
      <c r="AB60" s="86">
        <f t="shared" si="71"/>
        <v>0</v>
      </c>
      <c r="AC60" s="86">
        <f t="shared" si="71"/>
        <v>0</v>
      </c>
      <c r="AD60" s="86">
        <f t="shared" si="71"/>
        <v>0</v>
      </c>
      <c r="AE60" s="86">
        <f t="shared" si="71"/>
        <v>0</v>
      </c>
      <c r="AF60" s="86">
        <f t="shared" si="71"/>
        <v>0</v>
      </c>
      <c r="AG60" s="86">
        <f t="shared" si="71"/>
        <v>0</v>
      </c>
      <c r="AH60" s="86">
        <f t="shared" si="71"/>
        <v>0</v>
      </c>
      <c r="AI60" s="86">
        <f t="shared" si="71"/>
        <v>0</v>
      </c>
      <c r="AJ60" s="86">
        <f t="shared" si="71"/>
        <v>0</v>
      </c>
      <c r="AK60" s="86">
        <f t="shared" si="71"/>
        <v>0</v>
      </c>
      <c r="AL60" s="86">
        <f t="shared" si="71"/>
        <v>0</v>
      </c>
      <c r="AM60" s="86">
        <f t="shared" si="71"/>
        <v>0</v>
      </c>
      <c r="AN60" s="86">
        <f t="shared" si="71"/>
        <v>0</v>
      </c>
      <c r="AO60" s="86">
        <f t="shared" si="71"/>
        <v>0</v>
      </c>
      <c r="AP60" s="86">
        <f t="shared" si="71"/>
        <v>0</v>
      </c>
      <c r="AQ60" s="86">
        <f t="shared" si="71"/>
        <v>0</v>
      </c>
      <c r="AR60" s="86">
        <f t="shared" si="71"/>
        <v>0</v>
      </c>
      <c r="AS60" s="86">
        <f t="shared" si="71"/>
        <v>0</v>
      </c>
      <c r="AT60" s="86">
        <f t="shared" si="71"/>
        <v>0</v>
      </c>
      <c r="AU60" s="86">
        <f t="shared" si="71"/>
        <v>0</v>
      </c>
      <c r="AV60" s="82"/>
      <c r="AW60" s="86">
        <f t="shared" ref="AW60:BD60" si="80">SUMIFS($L60:$AU60,$L$11:$AU$11,"&gt;"&amp;AV$11,$L$11:$AU$11,"&lt;="&amp;AW$11)</f>
        <v>0</v>
      </c>
      <c r="AX60" s="86">
        <f t="shared" si="80"/>
        <v>0</v>
      </c>
      <c r="AY60" s="86">
        <f t="shared" si="80"/>
        <v>0</v>
      </c>
      <c r="AZ60" s="86">
        <f t="shared" si="80"/>
        <v>0</v>
      </c>
      <c r="BA60" s="86">
        <f t="shared" si="80"/>
        <v>0</v>
      </c>
      <c r="BB60" s="86">
        <f t="shared" si="80"/>
        <v>0</v>
      </c>
      <c r="BC60" s="86">
        <f t="shared" si="80"/>
        <v>0</v>
      </c>
      <c r="BD60" s="86">
        <f t="shared" si="80"/>
        <v>0</v>
      </c>
      <c r="BE60" s="82"/>
      <c r="BF60" s="86">
        <f t="shared" ref="BF60:BG60" si="81">SUMIFS($AW60:$BD60,$AW$11:$BD$11,"&gt;"&amp;BE$11,$AW$11:$BD$11,"&lt;="&amp;BF$11)</f>
        <v>0</v>
      </c>
      <c r="BG60" s="86">
        <f t="shared" si="81"/>
        <v>0</v>
      </c>
      <c r="BH60" s="86">
        <f t="shared" si="78"/>
        <v>0</v>
      </c>
      <c r="BI60" s="86">
        <f t="shared" si="78"/>
        <v>0</v>
      </c>
      <c r="BJ60" s="86">
        <f t="shared" si="78"/>
        <v>0</v>
      </c>
      <c r="BK60" s="82"/>
    </row>
    <row r="61" spans="2:63" hidden="1" outlineLevel="1" x14ac:dyDescent="0.2">
      <c r="B61" s="82"/>
      <c r="C61" s="81" t="s">
        <v>93</v>
      </c>
      <c r="D61" s="82"/>
      <c r="E61" s="82"/>
      <c r="F61" s="252">
        <f>'Key Assumptions + Summary'!D53</f>
        <v>750000</v>
      </c>
      <c r="G61" s="83">
        <f t="shared" si="79"/>
        <v>57692.307692307695</v>
      </c>
      <c r="H61" s="335">
        <f>'Key Assumptions + Summary'!E52</f>
        <v>45596</v>
      </c>
      <c r="I61" s="335">
        <f>'Key Assumptions + Summary'!G52</f>
        <v>45961</v>
      </c>
      <c r="K61" s="82"/>
      <c r="L61" s="86">
        <f t="shared" si="75"/>
        <v>0</v>
      </c>
      <c r="M61" s="86">
        <f t="shared" si="71"/>
        <v>0</v>
      </c>
      <c r="N61" s="86">
        <f t="shared" si="71"/>
        <v>0</v>
      </c>
      <c r="O61" s="86">
        <f t="shared" si="71"/>
        <v>0</v>
      </c>
      <c r="P61" s="86">
        <f t="shared" si="71"/>
        <v>0</v>
      </c>
      <c r="Q61" s="86">
        <f t="shared" si="71"/>
        <v>0</v>
      </c>
      <c r="R61" s="86">
        <f t="shared" si="71"/>
        <v>0</v>
      </c>
      <c r="S61" s="86">
        <f t="shared" si="71"/>
        <v>0</v>
      </c>
      <c r="T61" s="86">
        <f t="shared" si="71"/>
        <v>0</v>
      </c>
      <c r="U61" s="86">
        <f t="shared" si="71"/>
        <v>0</v>
      </c>
      <c r="V61" s="86">
        <f t="shared" si="71"/>
        <v>0</v>
      </c>
      <c r="W61" s="86">
        <f t="shared" si="71"/>
        <v>0</v>
      </c>
      <c r="X61" s="86">
        <f t="shared" si="71"/>
        <v>0</v>
      </c>
      <c r="Y61" s="86">
        <f t="shared" si="71"/>
        <v>0</v>
      </c>
      <c r="Z61" s="86">
        <f t="shared" si="71"/>
        <v>0</v>
      </c>
      <c r="AA61" s="86">
        <f t="shared" si="71"/>
        <v>0</v>
      </c>
      <c r="AB61" s="86">
        <f t="shared" si="71"/>
        <v>0</v>
      </c>
      <c r="AC61" s="86">
        <f t="shared" si="71"/>
        <v>0</v>
      </c>
      <c r="AD61" s="86">
        <f t="shared" si="71"/>
        <v>0</v>
      </c>
      <c r="AE61" s="86">
        <f t="shared" si="71"/>
        <v>0</v>
      </c>
      <c r="AF61" s="86">
        <f t="shared" si="71"/>
        <v>0</v>
      </c>
      <c r="AG61" s="86">
        <f t="shared" si="71"/>
        <v>57692.307692307695</v>
      </c>
      <c r="AH61" s="86">
        <f t="shared" si="71"/>
        <v>57692.307692307695</v>
      </c>
      <c r="AI61" s="86">
        <f t="shared" si="71"/>
        <v>57692.307692307695</v>
      </c>
      <c r="AJ61" s="86">
        <f t="shared" si="71"/>
        <v>57692.307692307695</v>
      </c>
      <c r="AK61" s="86">
        <f t="shared" si="71"/>
        <v>57692.307692307695</v>
      </c>
      <c r="AL61" s="86">
        <f t="shared" si="71"/>
        <v>57692.307692307695</v>
      </c>
      <c r="AM61" s="86">
        <f t="shared" si="71"/>
        <v>57692.307692307695</v>
      </c>
      <c r="AN61" s="86">
        <f t="shared" si="71"/>
        <v>57692.307692307695</v>
      </c>
      <c r="AO61" s="86">
        <f t="shared" si="71"/>
        <v>57692.307692307695</v>
      </c>
      <c r="AP61" s="86">
        <f t="shared" si="71"/>
        <v>57692.307692307695</v>
      </c>
      <c r="AQ61" s="86">
        <f t="shared" si="71"/>
        <v>57692.307692307695</v>
      </c>
      <c r="AR61" s="86">
        <f t="shared" si="71"/>
        <v>57692.307692307695</v>
      </c>
      <c r="AS61" s="86">
        <f t="shared" si="71"/>
        <v>57692.307692307695</v>
      </c>
      <c r="AT61" s="86">
        <f t="shared" si="71"/>
        <v>0</v>
      </c>
      <c r="AU61" s="86">
        <f t="shared" si="71"/>
        <v>0</v>
      </c>
      <c r="AV61" s="82"/>
      <c r="AW61" s="86">
        <f t="shared" ref="AW61:BD61" si="82">SUMIFS($L61:$AU61,$L$11:$AU$11,"&gt;"&amp;AV$11,$L$11:$AU$11,"&lt;="&amp;AW$11)</f>
        <v>0</v>
      </c>
      <c r="AX61" s="86">
        <f t="shared" si="82"/>
        <v>0</v>
      </c>
      <c r="AY61" s="86">
        <f t="shared" si="82"/>
        <v>0</v>
      </c>
      <c r="AZ61" s="86">
        <f t="shared" si="82"/>
        <v>173076.92307692309</v>
      </c>
      <c r="BA61" s="86">
        <f t="shared" si="82"/>
        <v>173076.92307692309</v>
      </c>
      <c r="BB61" s="86">
        <f t="shared" si="82"/>
        <v>173076.92307692309</v>
      </c>
      <c r="BC61" s="86">
        <f t="shared" si="82"/>
        <v>173076.92307692309</v>
      </c>
      <c r="BD61" s="86">
        <f t="shared" si="82"/>
        <v>57692.307692307695</v>
      </c>
      <c r="BE61" s="82"/>
      <c r="BF61" s="86">
        <f t="shared" ref="BF61:BG61" si="83">SUMIFS($AW61:$BD61,$AW$11:$BD$11,"&gt;"&amp;BE$11,$AW$11:$BD$11,"&lt;="&amp;BF$11)</f>
        <v>173076.92307692309</v>
      </c>
      <c r="BG61" s="86">
        <f t="shared" si="83"/>
        <v>576923.07692307699</v>
      </c>
      <c r="BH61" s="86">
        <f t="shared" si="78"/>
        <v>0</v>
      </c>
      <c r="BI61" s="86">
        <f t="shared" si="78"/>
        <v>0</v>
      </c>
      <c r="BJ61" s="86">
        <f t="shared" si="78"/>
        <v>0</v>
      </c>
      <c r="BK61" s="82"/>
    </row>
    <row r="62" spans="2:63" hidden="1" outlineLevel="1" x14ac:dyDescent="0.2">
      <c r="B62" s="82"/>
      <c r="C62" s="81" t="s">
        <v>94</v>
      </c>
      <c r="D62" s="82"/>
      <c r="E62" s="82"/>
      <c r="F62" s="252">
        <f>'Key Assumptions + Summary'!D54</f>
        <v>600000</v>
      </c>
      <c r="G62" s="83">
        <f t="shared" si="79"/>
        <v>46153.846153846156</v>
      </c>
      <c r="H62" s="335">
        <f>'Key Assumptions + Summary'!E53</f>
        <v>45596</v>
      </c>
      <c r="I62" s="335">
        <f>'Key Assumptions + Summary'!G53</f>
        <v>45961</v>
      </c>
      <c r="K62" s="82"/>
      <c r="L62" s="86">
        <f t="shared" si="75"/>
        <v>0</v>
      </c>
      <c r="M62" s="86">
        <f t="shared" si="71"/>
        <v>0</v>
      </c>
      <c r="N62" s="86">
        <f t="shared" si="71"/>
        <v>0</v>
      </c>
      <c r="O62" s="86">
        <f t="shared" si="71"/>
        <v>0</v>
      </c>
      <c r="P62" s="86">
        <f t="shared" si="71"/>
        <v>0</v>
      </c>
      <c r="Q62" s="86">
        <f t="shared" si="71"/>
        <v>0</v>
      </c>
      <c r="R62" s="86">
        <f t="shared" si="71"/>
        <v>0</v>
      </c>
      <c r="S62" s="86">
        <f t="shared" si="71"/>
        <v>0</v>
      </c>
      <c r="T62" s="86">
        <f t="shared" si="71"/>
        <v>0</v>
      </c>
      <c r="U62" s="86">
        <f t="shared" si="71"/>
        <v>0</v>
      </c>
      <c r="V62" s="86">
        <f t="shared" si="71"/>
        <v>0</v>
      </c>
      <c r="W62" s="86">
        <f t="shared" si="71"/>
        <v>0</v>
      </c>
      <c r="X62" s="86">
        <f t="shared" si="71"/>
        <v>0</v>
      </c>
      <c r="Y62" s="86">
        <f t="shared" si="71"/>
        <v>0</v>
      </c>
      <c r="Z62" s="86">
        <f t="shared" si="71"/>
        <v>0</v>
      </c>
      <c r="AA62" s="86">
        <f t="shared" si="71"/>
        <v>0</v>
      </c>
      <c r="AB62" s="86">
        <f t="shared" si="71"/>
        <v>0</v>
      </c>
      <c r="AC62" s="86">
        <f t="shared" si="71"/>
        <v>0</v>
      </c>
      <c r="AD62" s="86">
        <f t="shared" si="71"/>
        <v>0</v>
      </c>
      <c r="AE62" s="86">
        <f t="shared" si="71"/>
        <v>0</v>
      </c>
      <c r="AF62" s="86">
        <f t="shared" si="71"/>
        <v>0</v>
      </c>
      <c r="AG62" s="86">
        <f t="shared" si="71"/>
        <v>46153.846153846156</v>
      </c>
      <c r="AH62" s="86">
        <f t="shared" si="71"/>
        <v>46153.846153846156</v>
      </c>
      <c r="AI62" s="86">
        <f t="shared" si="71"/>
        <v>46153.846153846156</v>
      </c>
      <c r="AJ62" s="86">
        <f t="shared" si="71"/>
        <v>46153.846153846156</v>
      </c>
      <c r="AK62" s="86">
        <f t="shared" si="71"/>
        <v>46153.846153846156</v>
      </c>
      <c r="AL62" s="86">
        <f t="shared" si="71"/>
        <v>46153.846153846156</v>
      </c>
      <c r="AM62" s="86">
        <f t="shared" si="71"/>
        <v>46153.846153846156</v>
      </c>
      <c r="AN62" s="86">
        <f t="shared" si="71"/>
        <v>46153.846153846156</v>
      </c>
      <c r="AO62" s="86">
        <f t="shared" si="71"/>
        <v>46153.846153846156</v>
      </c>
      <c r="AP62" s="86">
        <f t="shared" si="71"/>
        <v>46153.846153846156</v>
      </c>
      <c r="AQ62" s="86">
        <f t="shared" si="71"/>
        <v>46153.846153846156</v>
      </c>
      <c r="AR62" s="86">
        <f t="shared" si="71"/>
        <v>46153.846153846156</v>
      </c>
      <c r="AS62" s="86">
        <f t="shared" si="71"/>
        <v>46153.846153846156</v>
      </c>
      <c r="AT62" s="86">
        <f t="shared" si="71"/>
        <v>0</v>
      </c>
      <c r="AU62" s="86">
        <f t="shared" si="71"/>
        <v>0</v>
      </c>
      <c r="AV62" s="82"/>
      <c r="AW62" s="86">
        <f t="shared" ref="AW62:BD62" si="84">SUMIFS($L62:$AU62,$L$11:$AU$11,"&gt;"&amp;AV$11,$L$11:$AU$11,"&lt;="&amp;AW$11)</f>
        <v>0</v>
      </c>
      <c r="AX62" s="86">
        <f t="shared" si="84"/>
        <v>0</v>
      </c>
      <c r="AY62" s="86">
        <f t="shared" si="84"/>
        <v>0</v>
      </c>
      <c r="AZ62" s="86">
        <f t="shared" si="84"/>
        <v>138461.53846153847</v>
      </c>
      <c r="BA62" s="86">
        <f t="shared" si="84"/>
        <v>138461.53846153847</v>
      </c>
      <c r="BB62" s="86">
        <f t="shared" si="84"/>
        <v>138461.53846153847</v>
      </c>
      <c r="BC62" s="86">
        <f t="shared" si="84"/>
        <v>138461.53846153847</v>
      </c>
      <c r="BD62" s="86">
        <f t="shared" si="84"/>
        <v>46153.846153846156</v>
      </c>
      <c r="BE62" s="82"/>
      <c r="BF62" s="86">
        <f t="shared" ref="BF62:BG62" si="85">SUMIFS($AW62:$BD62,$AW$11:$BD$11,"&gt;"&amp;BE$11,$AW$11:$BD$11,"&lt;="&amp;BF$11)</f>
        <v>138461.53846153847</v>
      </c>
      <c r="BG62" s="86">
        <f t="shared" si="85"/>
        <v>461538.4615384615</v>
      </c>
      <c r="BH62" s="86">
        <f t="shared" si="78"/>
        <v>0</v>
      </c>
      <c r="BI62" s="86">
        <f t="shared" si="78"/>
        <v>0</v>
      </c>
      <c r="BJ62" s="86">
        <f t="shared" si="78"/>
        <v>0</v>
      </c>
      <c r="BK62" s="82"/>
    </row>
    <row r="63" spans="2:63" hidden="1" outlineLevel="1" x14ac:dyDescent="0.2">
      <c r="B63" s="82"/>
      <c r="C63" s="81" t="s">
        <v>456</v>
      </c>
      <c r="D63" s="82"/>
      <c r="E63" s="82"/>
      <c r="F63" s="252">
        <f>IF(F59&gt;'Key Assumptions + Summary'!$D$54,-'Key Assumptions + Summary'!$D$54,0)</f>
        <v>-600000</v>
      </c>
      <c r="G63" s="83">
        <f t="shared" si="79"/>
        <v>-46153.846153846156</v>
      </c>
      <c r="H63" s="335">
        <f>'Key Assumptions + Summary'!E54</f>
        <v>45322</v>
      </c>
      <c r="I63" s="335">
        <f>'Key Assumptions + Summary'!G54</f>
        <v>45688</v>
      </c>
      <c r="K63" s="82"/>
      <c r="L63" s="86">
        <f t="shared" si="75"/>
        <v>0</v>
      </c>
      <c r="M63" s="86">
        <f t="shared" si="75"/>
        <v>0</v>
      </c>
      <c r="N63" s="86">
        <f t="shared" si="75"/>
        <v>0</v>
      </c>
      <c r="O63" s="86">
        <f t="shared" si="75"/>
        <v>0</v>
      </c>
      <c r="P63" s="86">
        <f t="shared" si="75"/>
        <v>0</v>
      </c>
      <c r="Q63" s="86">
        <f t="shared" si="75"/>
        <v>0</v>
      </c>
      <c r="R63" s="86">
        <f t="shared" si="75"/>
        <v>0</v>
      </c>
      <c r="S63" s="86">
        <f t="shared" si="75"/>
        <v>0</v>
      </c>
      <c r="T63" s="86">
        <f t="shared" si="75"/>
        <v>0</v>
      </c>
      <c r="U63" s="86">
        <f t="shared" si="75"/>
        <v>0</v>
      </c>
      <c r="V63" s="86">
        <f t="shared" si="75"/>
        <v>0</v>
      </c>
      <c r="W63" s="86">
        <f t="shared" si="75"/>
        <v>0</v>
      </c>
      <c r="X63" s="86">
        <f t="shared" si="75"/>
        <v>-46153.846153846156</v>
      </c>
      <c r="Y63" s="86">
        <f t="shared" si="75"/>
        <v>-46153.846153846156</v>
      </c>
      <c r="Z63" s="86">
        <f t="shared" si="75"/>
        <v>-46153.846153846156</v>
      </c>
      <c r="AA63" s="86">
        <f t="shared" si="75"/>
        <v>-46153.846153846156</v>
      </c>
      <c r="AB63" s="86">
        <f t="shared" si="71"/>
        <v>-46153.846153846156</v>
      </c>
      <c r="AC63" s="86">
        <f t="shared" si="71"/>
        <v>-46153.846153846156</v>
      </c>
      <c r="AD63" s="86">
        <f t="shared" si="71"/>
        <v>-46153.846153846156</v>
      </c>
      <c r="AE63" s="86">
        <f t="shared" si="71"/>
        <v>-46153.846153846156</v>
      </c>
      <c r="AF63" s="86">
        <f t="shared" si="71"/>
        <v>-46153.846153846156</v>
      </c>
      <c r="AG63" s="86">
        <f t="shared" si="71"/>
        <v>-46153.846153846156</v>
      </c>
      <c r="AH63" s="86">
        <f t="shared" si="71"/>
        <v>-46153.846153846156</v>
      </c>
      <c r="AI63" s="86">
        <f t="shared" si="71"/>
        <v>-46153.846153846156</v>
      </c>
      <c r="AJ63" s="86">
        <f t="shared" si="71"/>
        <v>-46153.846153846156</v>
      </c>
      <c r="AK63" s="86">
        <f t="shared" si="71"/>
        <v>0</v>
      </c>
      <c r="AL63" s="86">
        <f t="shared" si="71"/>
        <v>0</v>
      </c>
      <c r="AM63" s="86">
        <f t="shared" si="71"/>
        <v>0</v>
      </c>
      <c r="AN63" s="86">
        <f t="shared" si="71"/>
        <v>0</v>
      </c>
      <c r="AO63" s="86">
        <f t="shared" si="71"/>
        <v>0</v>
      </c>
      <c r="AP63" s="86">
        <f t="shared" si="71"/>
        <v>0</v>
      </c>
      <c r="AQ63" s="86">
        <f t="shared" si="71"/>
        <v>0</v>
      </c>
      <c r="AR63" s="86">
        <f t="shared" si="71"/>
        <v>0</v>
      </c>
      <c r="AS63" s="86">
        <f t="shared" si="71"/>
        <v>0</v>
      </c>
      <c r="AT63" s="86">
        <f t="shared" si="71"/>
        <v>0</v>
      </c>
      <c r="AU63" s="86">
        <f t="shared" si="71"/>
        <v>0</v>
      </c>
      <c r="AV63" s="82"/>
      <c r="AW63" s="86">
        <f t="shared" ref="AW63:BD63" si="86">SUMIFS($L63:$AU63,$L$11:$AU$11,"&gt;"&amp;AV$11,$L$11:$AU$11,"&lt;="&amp;AW$11)</f>
        <v>-138461.53846153847</v>
      </c>
      <c r="AX63" s="86">
        <f t="shared" si="86"/>
        <v>-138461.53846153847</v>
      </c>
      <c r="AY63" s="86">
        <f t="shared" si="86"/>
        <v>-138461.53846153847</v>
      </c>
      <c r="AZ63" s="86">
        <f t="shared" si="86"/>
        <v>-138461.53846153847</v>
      </c>
      <c r="BA63" s="86">
        <f t="shared" si="86"/>
        <v>-46153.846153846156</v>
      </c>
      <c r="BB63" s="86">
        <f t="shared" si="86"/>
        <v>0</v>
      </c>
      <c r="BC63" s="86">
        <f t="shared" si="86"/>
        <v>0</v>
      </c>
      <c r="BD63" s="86">
        <f t="shared" si="86"/>
        <v>0</v>
      </c>
      <c r="BE63" s="82"/>
      <c r="BF63" s="86">
        <f t="shared" ref="BF63:BG63" si="87">SUMIFS($AW63:$BD63,$AW$11:$BD$11,"&gt;"&amp;BE$11,$AW$11:$BD$11,"&lt;="&amp;BF$11)</f>
        <v>-553846.15384615387</v>
      </c>
      <c r="BG63" s="86">
        <f t="shared" si="87"/>
        <v>-46153.846153846156</v>
      </c>
      <c r="BH63" s="86">
        <f t="shared" si="78"/>
        <v>0</v>
      </c>
      <c r="BI63" s="86">
        <f t="shared" si="78"/>
        <v>0</v>
      </c>
      <c r="BJ63" s="86">
        <f t="shared" si="78"/>
        <v>0</v>
      </c>
      <c r="BK63" s="82"/>
    </row>
    <row r="64" spans="2:63" hidden="1" outlineLevel="1" x14ac:dyDescent="0.2">
      <c r="B64" s="82"/>
      <c r="C64" s="81"/>
      <c r="D64" s="82"/>
      <c r="E64" s="82"/>
      <c r="F64" s="82"/>
      <c r="G64" s="82"/>
      <c r="H64" s="82"/>
      <c r="I64" s="82"/>
      <c r="J64" s="82"/>
      <c r="K64" s="82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6"/>
      <c r="X64" s="86"/>
      <c r="Y64" s="86"/>
      <c r="Z64" s="86"/>
      <c r="AA64" s="86"/>
      <c r="AB64" s="86"/>
      <c r="AC64" s="86"/>
      <c r="AD64" s="86"/>
      <c r="AE64" s="86"/>
      <c r="AF64" s="86"/>
      <c r="AG64" s="86"/>
      <c r="AH64" s="86"/>
      <c r="AI64" s="86"/>
      <c r="AJ64" s="86"/>
      <c r="AK64" s="86"/>
      <c r="AL64" s="86"/>
      <c r="AM64" s="86"/>
      <c r="AN64" s="86"/>
      <c r="AO64" s="86"/>
      <c r="AP64" s="86"/>
      <c r="AQ64" s="86"/>
      <c r="AR64" s="86"/>
      <c r="AS64" s="86"/>
      <c r="AT64" s="86"/>
      <c r="AU64" s="86"/>
      <c r="AV64" s="82"/>
      <c r="AW64" s="86"/>
      <c r="AX64" s="86"/>
      <c r="AY64" s="86"/>
      <c r="AZ64" s="86"/>
      <c r="BA64" s="86"/>
      <c r="BB64" s="86"/>
      <c r="BC64" s="86"/>
      <c r="BD64" s="86"/>
      <c r="BE64" s="82"/>
      <c r="BF64" s="86"/>
      <c r="BG64" s="86"/>
      <c r="BH64" s="86"/>
      <c r="BI64" s="86"/>
      <c r="BJ64" s="86"/>
      <c r="BK64" s="82"/>
    </row>
    <row r="65" spans="2:63" collapsed="1" x14ac:dyDescent="0.2">
      <c r="C65" s="23" t="s">
        <v>95</v>
      </c>
      <c r="L65" s="24">
        <f t="shared" ref="L65:AU65" si="88">SUM(L58:L63)</f>
        <v>0</v>
      </c>
      <c r="M65" s="24">
        <f t="shared" si="88"/>
        <v>0</v>
      </c>
      <c r="N65" s="24">
        <f t="shared" si="88"/>
        <v>0</v>
      </c>
      <c r="O65" s="24">
        <f t="shared" si="88"/>
        <v>0</v>
      </c>
      <c r="P65" s="24">
        <f t="shared" si="88"/>
        <v>0</v>
      </c>
      <c r="Q65" s="24">
        <f t="shared" si="88"/>
        <v>0</v>
      </c>
      <c r="R65" s="24">
        <f t="shared" si="88"/>
        <v>0</v>
      </c>
      <c r="S65" s="24">
        <f t="shared" si="88"/>
        <v>0</v>
      </c>
      <c r="T65" s="24">
        <f t="shared" si="88"/>
        <v>0</v>
      </c>
      <c r="U65" s="24">
        <f t="shared" si="88"/>
        <v>0</v>
      </c>
      <c r="V65" s="24">
        <f t="shared" si="88"/>
        <v>0</v>
      </c>
      <c r="W65" s="24">
        <f t="shared" si="88"/>
        <v>0</v>
      </c>
      <c r="X65" s="24">
        <f t="shared" si="88"/>
        <v>13076.923076923078</v>
      </c>
      <c r="Y65" s="24">
        <f t="shared" si="88"/>
        <v>13076.923076923078</v>
      </c>
      <c r="Z65" s="24">
        <f t="shared" si="88"/>
        <v>13076.923076923078</v>
      </c>
      <c r="AA65" s="24">
        <f t="shared" si="88"/>
        <v>13076.923076923078</v>
      </c>
      <c r="AB65" s="24">
        <f t="shared" si="88"/>
        <v>13076.923076923078</v>
      </c>
      <c r="AC65" s="24">
        <f t="shared" si="88"/>
        <v>13076.923076923078</v>
      </c>
      <c r="AD65" s="24">
        <f t="shared" si="88"/>
        <v>13076.923076923078</v>
      </c>
      <c r="AE65" s="24">
        <f t="shared" si="88"/>
        <v>13076.923076923078</v>
      </c>
      <c r="AF65" s="24">
        <f t="shared" si="88"/>
        <v>13076.923076923078</v>
      </c>
      <c r="AG65" s="24">
        <f t="shared" si="88"/>
        <v>116923.07692307694</v>
      </c>
      <c r="AH65" s="24">
        <f t="shared" si="88"/>
        <v>116923.07692307694</v>
      </c>
      <c r="AI65" s="24">
        <f t="shared" si="88"/>
        <v>116923.07692307694</v>
      </c>
      <c r="AJ65" s="24">
        <f t="shared" si="88"/>
        <v>116923.07692307694</v>
      </c>
      <c r="AK65" s="24">
        <f t="shared" si="88"/>
        <v>103846.15384615384</v>
      </c>
      <c r="AL65" s="24">
        <f t="shared" si="88"/>
        <v>103846.15384615384</v>
      </c>
      <c r="AM65" s="24">
        <f t="shared" si="88"/>
        <v>103846.15384615384</v>
      </c>
      <c r="AN65" s="24">
        <f t="shared" si="88"/>
        <v>103846.15384615384</v>
      </c>
      <c r="AO65" s="24">
        <f t="shared" si="88"/>
        <v>103846.15384615384</v>
      </c>
      <c r="AP65" s="24">
        <f t="shared" si="88"/>
        <v>103846.15384615384</v>
      </c>
      <c r="AQ65" s="24">
        <f t="shared" si="88"/>
        <v>103846.15384615384</v>
      </c>
      <c r="AR65" s="24">
        <f t="shared" si="88"/>
        <v>103846.15384615384</v>
      </c>
      <c r="AS65" s="24">
        <f t="shared" si="88"/>
        <v>103846.15384615384</v>
      </c>
      <c r="AT65" s="24">
        <f t="shared" si="88"/>
        <v>0</v>
      </c>
      <c r="AU65" s="24">
        <f t="shared" si="88"/>
        <v>0</v>
      </c>
      <c r="AW65" s="24">
        <f t="shared" ref="AW65:BD65" si="89">SUM(AW58:AW63)</f>
        <v>39230.76923076922</v>
      </c>
      <c r="AX65" s="24">
        <f t="shared" si="89"/>
        <v>39230.76923076922</v>
      </c>
      <c r="AY65" s="24">
        <f t="shared" si="89"/>
        <v>39230.76923076922</v>
      </c>
      <c r="AZ65" s="24">
        <f t="shared" si="89"/>
        <v>350769.23076923075</v>
      </c>
      <c r="BA65" s="24">
        <f t="shared" si="89"/>
        <v>324615.38461538462</v>
      </c>
      <c r="BB65" s="24">
        <f t="shared" si="89"/>
        <v>311538.46153846156</v>
      </c>
      <c r="BC65" s="24">
        <f t="shared" si="89"/>
        <v>311538.46153846156</v>
      </c>
      <c r="BD65" s="24">
        <f t="shared" si="89"/>
        <v>103846.15384615384</v>
      </c>
      <c r="BF65" s="24">
        <f>SUM(BF58:BF63)</f>
        <v>468461.5384615385</v>
      </c>
      <c r="BG65" s="24">
        <f>SUM(BG58:BG63)</f>
        <v>1051538.4615384615</v>
      </c>
      <c r="BH65" s="24">
        <f>SUM(BH58:BH63)</f>
        <v>0</v>
      </c>
      <c r="BI65" s="24">
        <f>SUM(BI58:BI63)</f>
        <v>0</v>
      </c>
      <c r="BJ65" s="24">
        <f>SUM(BJ58:BJ63)</f>
        <v>0</v>
      </c>
    </row>
    <row r="66" spans="2:63" ht="15" hidden="1" outlineLevel="1" x14ac:dyDescent="0.35">
      <c r="C66" s="23"/>
      <c r="F66" s="69"/>
      <c r="G66" s="69" t="s">
        <v>30</v>
      </c>
      <c r="H66" s="69" t="s">
        <v>31</v>
      </c>
      <c r="I66" s="69" t="s">
        <v>72</v>
      </c>
    </row>
    <row r="67" spans="2:63" hidden="1" outlineLevel="1" x14ac:dyDescent="0.2">
      <c r="B67" s="82"/>
      <c r="C67" s="81" t="s">
        <v>465</v>
      </c>
      <c r="D67" s="82"/>
      <c r="E67" s="82"/>
      <c r="F67" s="88">
        <v>75000</v>
      </c>
      <c r="G67" s="83">
        <f>F67/12</f>
        <v>6250</v>
      </c>
      <c r="H67" s="89">
        <v>45688</v>
      </c>
      <c r="I67" s="89">
        <v>46022</v>
      </c>
      <c r="J67" s="89"/>
      <c r="K67" s="82"/>
      <c r="L67" s="86">
        <f>IF(AND($H67&lt;='Sales, COGS, Sales Team'!L$13,$I67&gt;='Sales, COGS, Sales Team'!L$13),$G67,0)</f>
        <v>0</v>
      </c>
      <c r="M67" s="86">
        <f>IF(AND($H67&lt;='Sales, COGS, Sales Team'!M$13,$I67&gt;='Sales, COGS, Sales Team'!M$13),$G67,0)</f>
        <v>0</v>
      </c>
      <c r="N67" s="86">
        <f>IF(AND($H67&lt;='Sales, COGS, Sales Team'!N$13,$I67&gt;='Sales, COGS, Sales Team'!N$13),$G67,0)</f>
        <v>0</v>
      </c>
      <c r="O67" s="86">
        <f>IF(AND($H67&lt;='Sales, COGS, Sales Team'!O$13,$I67&gt;='Sales, COGS, Sales Team'!O$13),$G67,0)</f>
        <v>0</v>
      </c>
      <c r="P67" s="86">
        <f>IF(AND($H67&lt;='Sales, COGS, Sales Team'!P$13,$I67&gt;='Sales, COGS, Sales Team'!P$13),$G67,0)</f>
        <v>0</v>
      </c>
      <c r="Q67" s="86">
        <f>IF(AND($H67&lt;='Sales, COGS, Sales Team'!Q$13,$I67&gt;='Sales, COGS, Sales Team'!Q$13),$G67,0)</f>
        <v>0</v>
      </c>
      <c r="R67" s="86">
        <f>IF(AND($H67&lt;='Sales, COGS, Sales Team'!R$13,$I67&gt;='Sales, COGS, Sales Team'!R$13),$G67,0)</f>
        <v>0</v>
      </c>
      <c r="S67" s="86">
        <f>IF(AND($H67&lt;='Sales, COGS, Sales Team'!S$13,$I67&gt;='Sales, COGS, Sales Team'!S$13),$G67,0)</f>
        <v>0</v>
      </c>
      <c r="T67" s="86">
        <f>IF(AND($H67&lt;='Sales, COGS, Sales Team'!T$13,$I67&gt;='Sales, COGS, Sales Team'!T$13),$G67,0)</f>
        <v>0</v>
      </c>
      <c r="U67" s="86">
        <f>IF(AND($H67&lt;='Sales, COGS, Sales Team'!U$13,$I67&gt;='Sales, COGS, Sales Team'!U$13),$G67,0)</f>
        <v>0</v>
      </c>
      <c r="V67" s="86">
        <f>IF(AND($H67&lt;='Sales, COGS, Sales Team'!V$13,$I67&gt;='Sales, COGS, Sales Team'!V$13),$G67,0)</f>
        <v>0</v>
      </c>
      <c r="W67" s="86">
        <f>IF(AND($H67&lt;='Sales, COGS, Sales Team'!W$13,$I67&gt;='Sales, COGS, Sales Team'!W$13),$G67,0)</f>
        <v>0</v>
      </c>
      <c r="X67" s="86">
        <f>IF(AND($H67&lt;='Sales, COGS, Sales Team'!X$13,$I67&gt;='Sales, COGS, Sales Team'!X$13),$G67,0)</f>
        <v>0</v>
      </c>
      <c r="Y67" s="86">
        <f>IF(AND($H67&lt;='Sales, COGS, Sales Team'!Y$13,$I67&gt;='Sales, COGS, Sales Team'!Y$13),$G67,0)</f>
        <v>0</v>
      </c>
      <c r="Z67" s="86">
        <f>IF(AND($H67&lt;='Sales, COGS, Sales Team'!Z$13,$I67&gt;='Sales, COGS, Sales Team'!Z$13),$G67,0)</f>
        <v>0</v>
      </c>
      <c r="AA67" s="86">
        <f>IF(AND($H67&lt;='Sales, COGS, Sales Team'!AA$13,$I67&gt;='Sales, COGS, Sales Team'!AA$13),$G67,0)</f>
        <v>0</v>
      </c>
      <c r="AB67" s="86">
        <f>IF(AND($H67&lt;='Sales, COGS, Sales Team'!AB$13,$I67&gt;='Sales, COGS, Sales Team'!AB$13),$G67,0)</f>
        <v>0</v>
      </c>
      <c r="AC67" s="86">
        <f>IF(AND($H67&lt;='Sales, COGS, Sales Team'!AC$13,$I67&gt;='Sales, COGS, Sales Team'!AC$13),$G67,0)</f>
        <v>0</v>
      </c>
      <c r="AD67" s="86">
        <f>IF(AND($H67&lt;='Sales, COGS, Sales Team'!AD$13,$I67&gt;='Sales, COGS, Sales Team'!AD$13),$G67,0)</f>
        <v>0</v>
      </c>
      <c r="AE67" s="86">
        <f>IF(AND($H67&lt;='Sales, COGS, Sales Team'!AE$13,$I67&gt;='Sales, COGS, Sales Team'!AE$13),$G67,0)</f>
        <v>0</v>
      </c>
      <c r="AF67" s="86">
        <f>IF(AND($H67&lt;='Sales, COGS, Sales Team'!AF$13,$I67&gt;='Sales, COGS, Sales Team'!AF$13),$G67,0)</f>
        <v>0</v>
      </c>
      <c r="AG67" s="86">
        <f>IF(AND($H67&lt;='Sales, COGS, Sales Team'!AG$13,$I67&gt;='Sales, COGS, Sales Team'!AG$13),$G67,0)</f>
        <v>0</v>
      </c>
      <c r="AH67" s="86">
        <f>IF(AND($H67&lt;='Sales, COGS, Sales Team'!AH$13,$I67&gt;='Sales, COGS, Sales Team'!AH$13),$G67,0)</f>
        <v>0</v>
      </c>
      <c r="AI67" s="86">
        <f>IF(AND($H67&lt;='Sales, COGS, Sales Team'!AI$13,$I67&gt;='Sales, COGS, Sales Team'!AI$13),$G67,0)</f>
        <v>0</v>
      </c>
      <c r="AJ67" s="86">
        <f>IF(AND($H67&lt;='Sales, COGS, Sales Team'!AJ$13,$I67&gt;='Sales, COGS, Sales Team'!AJ$13),$G67*(1+$G$90),0)</f>
        <v>14062.5</v>
      </c>
      <c r="AK67" s="86">
        <f>IF(AND($H67&lt;='Sales, COGS, Sales Team'!AK$13,$I67&gt;='Sales, COGS, Sales Team'!AK$13),$G67*(1+$G$90),0)</f>
        <v>14062.5</v>
      </c>
      <c r="AL67" s="86">
        <f>IF(AND($H67&lt;='Sales, COGS, Sales Team'!AL$13,$I67&gt;='Sales, COGS, Sales Team'!AL$13),$G67*(1+$G$90),0)</f>
        <v>14062.5</v>
      </c>
      <c r="AM67" s="86">
        <f>IF(AND($H67&lt;='Sales, COGS, Sales Team'!AM$13,$I67&gt;='Sales, COGS, Sales Team'!AM$13),$G67*(1+$G$90),0)</f>
        <v>14062.5</v>
      </c>
      <c r="AN67" s="86">
        <f>IF(AND($H67&lt;='Sales, COGS, Sales Team'!AN$13,$I67&gt;='Sales, COGS, Sales Team'!AN$13),$G67*(1+$G$90),0)</f>
        <v>14062.5</v>
      </c>
      <c r="AO67" s="86">
        <f>IF(AND($H67&lt;='Sales, COGS, Sales Team'!AO$13,$I67&gt;='Sales, COGS, Sales Team'!AO$13),$G67*(1+$G$90),0)</f>
        <v>14062.5</v>
      </c>
      <c r="AP67" s="86">
        <f>IF(AND($H67&lt;='Sales, COGS, Sales Team'!AP$13,$I67&gt;='Sales, COGS, Sales Team'!AP$13),$G67*(1+$G$90),0)</f>
        <v>14062.5</v>
      </c>
      <c r="AQ67" s="86">
        <f>IF(AND($H67&lt;='Sales, COGS, Sales Team'!AQ$13,$I67&gt;='Sales, COGS, Sales Team'!AQ$13),$G67*(1+$G$90),0)</f>
        <v>14062.5</v>
      </c>
      <c r="AR67" s="86">
        <f>IF(AND($H67&lt;='Sales, COGS, Sales Team'!AR$13,$I67&gt;='Sales, COGS, Sales Team'!AR$13),$G67*(1+$G$90),0)</f>
        <v>14062.5</v>
      </c>
      <c r="AS67" s="86">
        <f>IF(AND($H67&lt;='Sales, COGS, Sales Team'!AS$13,$I67&gt;='Sales, COGS, Sales Team'!AS$13),$G67*(1+$G$90),0)</f>
        <v>14062.5</v>
      </c>
      <c r="AT67" s="86">
        <f>IF(AND($H67&lt;='Sales, COGS, Sales Team'!AT$13,$I67&gt;='Sales, COGS, Sales Team'!AT$13),$G67*(1+$G$90),0)</f>
        <v>14062.5</v>
      </c>
      <c r="AU67" s="86">
        <f>IF(AND($H67&lt;='Sales, COGS, Sales Team'!AU$13,$I67&gt;='Sales, COGS, Sales Team'!AU$13),$G67*(1+$G$90),0)</f>
        <v>14062.5</v>
      </c>
      <c r="AV67" s="82"/>
      <c r="AW67" s="86">
        <f t="shared" ref="AW67:AW75" si="90">SUMIFS($L67:$AU67,$L$11:$AU$11,"&gt;"&amp;AV$11,$L$11:$AU$11,"&lt;="&amp;AW$11)</f>
        <v>0</v>
      </c>
      <c r="AX67" s="86">
        <f t="shared" ref="AX67:BD75" si="91">SUMIFS($L67:$AU67,$L$11:$AU$11,"&gt;"&amp;AW$11,$L$11:$AU$11,"&lt;="&amp;AX$11)</f>
        <v>0</v>
      </c>
      <c r="AY67" s="86">
        <f t="shared" si="91"/>
        <v>0</v>
      </c>
      <c r="AZ67" s="86">
        <f t="shared" si="91"/>
        <v>0</v>
      </c>
      <c r="BA67" s="86">
        <f t="shared" si="91"/>
        <v>42187.5</v>
      </c>
      <c r="BB67" s="86">
        <f t="shared" si="91"/>
        <v>42187.5</v>
      </c>
      <c r="BC67" s="86">
        <f t="shared" si="91"/>
        <v>42187.5</v>
      </c>
      <c r="BD67" s="86">
        <f t="shared" si="91"/>
        <v>42187.5</v>
      </c>
      <c r="BE67" s="82"/>
      <c r="BF67" s="24">
        <f t="shared" ref="BF67:BG67" si="92">SUMIFS($AW67:$BD67,$AW$11:$BD$11,"&gt;"&amp;BE$11,$AW$11:$BD$11,"&lt;="&amp;BF$11)</f>
        <v>0</v>
      </c>
      <c r="BG67" s="24">
        <f t="shared" si="92"/>
        <v>168750</v>
      </c>
      <c r="BH67" s="86"/>
      <c r="BI67" s="86"/>
      <c r="BJ67" s="86"/>
      <c r="BK67" s="82"/>
    </row>
    <row r="68" spans="2:63" hidden="1" outlineLevel="1" x14ac:dyDescent="0.2">
      <c r="B68" s="82"/>
      <c r="C68" s="81" t="s">
        <v>466</v>
      </c>
      <c r="D68" s="82"/>
      <c r="E68" s="82"/>
      <c r="F68" s="88">
        <v>81500</v>
      </c>
      <c r="G68" s="83">
        <f>F68/12</f>
        <v>6791.666666666667</v>
      </c>
      <c r="H68" s="89">
        <v>45322</v>
      </c>
      <c r="I68" s="89">
        <v>45657</v>
      </c>
      <c r="J68" s="89"/>
      <c r="K68" s="82"/>
      <c r="L68" s="86">
        <f>IF(AND($H68&lt;=L$13,$I68&gt;=L$13),$G68,0)</f>
        <v>0</v>
      </c>
      <c r="M68" s="86">
        <f t="shared" ref="M68:AU71" si="93">IF(AND($H68&lt;=M$13,$I68&gt;=M$13),$G68,0)</f>
        <v>0</v>
      </c>
      <c r="N68" s="86">
        <f t="shared" si="93"/>
        <v>0</v>
      </c>
      <c r="O68" s="86">
        <f t="shared" si="93"/>
        <v>0</v>
      </c>
      <c r="P68" s="86">
        <f t="shared" si="93"/>
        <v>0</v>
      </c>
      <c r="Q68" s="86">
        <f t="shared" si="93"/>
        <v>0</v>
      </c>
      <c r="R68" s="86">
        <f t="shared" si="93"/>
        <v>0</v>
      </c>
      <c r="S68" s="86">
        <f t="shared" si="93"/>
        <v>0</v>
      </c>
      <c r="T68" s="86">
        <f t="shared" si="93"/>
        <v>0</v>
      </c>
      <c r="U68" s="86">
        <f t="shared" si="93"/>
        <v>0</v>
      </c>
      <c r="V68" s="86">
        <f t="shared" si="93"/>
        <v>0</v>
      </c>
      <c r="W68" s="86">
        <f t="shared" si="93"/>
        <v>0</v>
      </c>
      <c r="X68" s="86">
        <f t="shared" si="93"/>
        <v>6791.666666666667</v>
      </c>
      <c r="Y68" s="86">
        <f t="shared" si="93"/>
        <v>6791.666666666667</v>
      </c>
      <c r="Z68" s="86">
        <f t="shared" si="93"/>
        <v>6791.666666666667</v>
      </c>
      <c r="AA68" s="86">
        <f t="shared" si="93"/>
        <v>6791.666666666667</v>
      </c>
      <c r="AB68" s="86">
        <f t="shared" si="93"/>
        <v>6791.666666666667</v>
      </c>
      <c r="AC68" s="86">
        <f t="shared" si="93"/>
        <v>6791.666666666667</v>
      </c>
      <c r="AD68" s="86">
        <f t="shared" si="93"/>
        <v>6791.666666666667</v>
      </c>
      <c r="AE68" s="86">
        <f t="shared" si="93"/>
        <v>6791.666666666667</v>
      </c>
      <c r="AF68" s="86">
        <f t="shared" si="93"/>
        <v>6791.666666666667</v>
      </c>
      <c r="AG68" s="86">
        <f t="shared" si="93"/>
        <v>6791.666666666667</v>
      </c>
      <c r="AH68" s="86">
        <f t="shared" si="93"/>
        <v>6791.666666666667</v>
      </c>
      <c r="AI68" s="86">
        <f t="shared" si="93"/>
        <v>6791.666666666667</v>
      </c>
      <c r="AJ68" s="86">
        <f t="shared" si="93"/>
        <v>0</v>
      </c>
      <c r="AK68" s="86">
        <f t="shared" si="93"/>
        <v>0</v>
      </c>
      <c r="AL68" s="86">
        <f t="shared" si="93"/>
        <v>0</v>
      </c>
      <c r="AM68" s="86">
        <f t="shared" si="93"/>
        <v>0</v>
      </c>
      <c r="AN68" s="86">
        <f t="shared" si="93"/>
        <v>0</v>
      </c>
      <c r="AO68" s="86">
        <f t="shared" si="93"/>
        <v>0</v>
      </c>
      <c r="AP68" s="86">
        <f t="shared" si="93"/>
        <v>0</v>
      </c>
      <c r="AQ68" s="86">
        <f t="shared" si="93"/>
        <v>0</v>
      </c>
      <c r="AR68" s="86">
        <f t="shared" si="93"/>
        <v>0</v>
      </c>
      <c r="AS68" s="86">
        <f t="shared" si="93"/>
        <v>0</v>
      </c>
      <c r="AT68" s="86">
        <f t="shared" si="93"/>
        <v>0</v>
      </c>
      <c r="AU68" s="86">
        <f t="shared" si="93"/>
        <v>0</v>
      </c>
      <c r="AV68" s="82"/>
      <c r="AW68" s="86">
        <f t="shared" si="90"/>
        <v>20375</v>
      </c>
      <c r="AX68" s="86">
        <f t="shared" si="91"/>
        <v>20375</v>
      </c>
      <c r="AY68" s="86">
        <f t="shared" si="91"/>
        <v>20375</v>
      </c>
      <c r="AZ68" s="86">
        <f t="shared" si="91"/>
        <v>20375</v>
      </c>
      <c r="BA68" s="86">
        <f t="shared" si="91"/>
        <v>0</v>
      </c>
      <c r="BB68" s="86">
        <f t="shared" si="91"/>
        <v>0</v>
      </c>
      <c r="BC68" s="86">
        <f t="shared" si="91"/>
        <v>0</v>
      </c>
      <c r="BD68" s="86">
        <f t="shared" si="91"/>
        <v>0</v>
      </c>
      <c r="BE68" s="82"/>
      <c r="BF68" s="24">
        <f t="shared" ref="BF68:BG68" si="94">SUMIFS($AW68:$BD68,$AW$11:$BD$11,"&gt;"&amp;BE$11,$AW$11:$BD$11,"&lt;="&amp;BF$11)</f>
        <v>81500</v>
      </c>
      <c r="BG68" s="24">
        <f t="shared" si="94"/>
        <v>0</v>
      </c>
      <c r="BH68" s="86"/>
      <c r="BI68" s="86"/>
      <c r="BJ68" s="86"/>
      <c r="BK68" s="82"/>
    </row>
    <row r="69" spans="2:63" hidden="1" outlineLevel="1" x14ac:dyDescent="0.2">
      <c r="B69" s="82"/>
      <c r="C69" s="81" t="s">
        <v>467</v>
      </c>
      <c r="D69" s="82"/>
      <c r="E69" s="82"/>
      <c r="F69" s="88">
        <f>(40000+120000)+(40000+120000)</f>
        <v>320000</v>
      </c>
      <c r="G69" s="83">
        <f>F69/12</f>
        <v>26666.666666666668</v>
      </c>
      <c r="H69" s="89">
        <v>45688</v>
      </c>
      <c r="I69" s="89">
        <v>46022</v>
      </c>
      <c r="J69" s="89"/>
      <c r="K69" s="82"/>
      <c r="L69" s="86">
        <f>IF(AND($H69&lt;=L$13,$I69&gt;=L$13),$G69,0)</f>
        <v>0</v>
      </c>
      <c r="M69" s="86">
        <f t="shared" si="93"/>
        <v>0</v>
      </c>
      <c r="N69" s="86">
        <f t="shared" si="93"/>
        <v>0</v>
      </c>
      <c r="O69" s="86">
        <f t="shared" si="93"/>
        <v>0</v>
      </c>
      <c r="P69" s="86">
        <f t="shared" si="93"/>
        <v>0</v>
      </c>
      <c r="Q69" s="86">
        <f t="shared" si="93"/>
        <v>0</v>
      </c>
      <c r="R69" s="86">
        <f t="shared" si="93"/>
        <v>0</v>
      </c>
      <c r="S69" s="86">
        <f t="shared" si="93"/>
        <v>0</v>
      </c>
      <c r="T69" s="86">
        <f t="shared" si="93"/>
        <v>0</v>
      </c>
      <c r="U69" s="86">
        <f t="shared" si="93"/>
        <v>0</v>
      </c>
      <c r="V69" s="86">
        <f t="shared" si="93"/>
        <v>0</v>
      </c>
      <c r="W69" s="86">
        <f t="shared" si="93"/>
        <v>0</v>
      </c>
      <c r="X69" s="86">
        <f t="shared" si="93"/>
        <v>0</v>
      </c>
      <c r="Y69" s="86">
        <f t="shared" si="93"/>
        <v>0</v>
      </c>
      <c r="Z69" s="86">
        <f t="shared" si="93"/>
        <v>0</v>
      </c>
      <c r="AA69" s="86">
        <f t="shared" si="93"/>
        <v>0</v>
      </c>
      <c r="AB69" s="86">
        <f t="shared" si="93"/>
        <v>0</v>
      </c>
      <c r="AC69" s="86">
        <f t="shared" si="93"/>
        <v>0</v>
      </c>
      <c r="AD69" s="86">
        <f t="shared" si="93"/>
        <v>0</v>
      </c>
      <c r="AE69" s="86">
        <f t="shared" si="93"/>
        <v>0</v>
      </c>
      <c r="AF69" s="86">
        <f t="shared" si="93"/>
        <v>0</v>
      </c>
      <c r="AG69" s="86">
        <f t="shared" si="93"/>
        <v>0</v>
      </c>
      <c r="AH69" s="86">
        <f t="shared" si="93"/>
        <v>0</v>
      </c>
      <c r="AI69" s="86">
        <f t="shared" si="93"/>
        <v>0</v>
      </c>
      <c r="AJ69" s="86">
        <f t="shared" si="93"/>
        <v>26666.666666666668</v>
      </c>
      <c r="AK69" s="86">
        <f t="shared" si="93"/>
        <v>26666.666666666668</v>
      </c>
      <c r="AL69" s="86">
        <f t="shared" si="93"/>
        <v>26666.666666666668</v>
      </c>
      <c r="AM69" s="86">
        <f t="shared" si="93"/>
        <v>26666.666666666668</v>
      </c>
      <c r="AN69" s="86">
        <f t="shared" si="93"/>
        <v>26666.666666666668</v>
      </c>
      <c r="AO69" s="86">
        <f t="shared" si="93"/>
        <v>26666.666666666668</v>
      </c>
      <c r="AP69" s="86">
        <f t="shared" si="93"/>
        <v>26666.666666666668</v>
      </c>
      <c r="AQ69" s="86">
        <f t="shared" si="93"/>
        <v>26666.666666666668</v>
      </c>
      <c r="AR69" s="86">
        <f t="shared" si="93"/>
        <v>26666.666666666668</v>
      </c>
      <c r="AS69" s="86">
        <f t="shared" si="93"/>
        <v>26666.666666666668</v>
      </c>
      <c r="AT69" s="86">
        <f t="shared" si="93"/>
        <v>26666.666666666668</v>
      </c>
      <c r="AU69" s="86">
        <f t="shared" si="93"/>
        <v>26666.666666666668</v>
      </c>
      <c r="AV69" s="82"/>
      <c r="AW69" s="86">
        <f t="shared" si="90"/>
        <v>0</v>
      </c>
      <c r="AX69" s="86">
        <f t="shared" si="91"/>
        <v>0</v>
      </c>
      <c r="AY69" s="86">
        <f t="shared" si="91"/>
        <v>0</v>
      </c>
      <c r="AZ69" s="86">
        <f t="shared" si="91"/>
        <v>0</v>
      </c>
      <c r="BA69" s="86">
        <f t="shared" si="91"/>
        <v>80000</v>
      </c>
      <c r="BB69" s="86">
        <f t="shared" si="91"/>
        <v>80000</v>
      </c>
      <c r="BC69" s="86">
        <f t="shared" si="91"/>
        <v>80000</v>
      </c>
      <c r="BD69" s="86">
        <f t="shared" si="91"/>
        <v>80000</v>
      </c>
      <c r="BE69" s="82"/>
      <c r="BF69" s="24">
        <f t="shared" ref="BF69:BG69" si="95">SUMIFS($AW69:$BD69,$AW$11:$BD$11,"&gt;"&amp;BE$11,$AW$11:$BD$11,"&lt;="&amp;BF$11)</f>
        <v>0</v>
      </c>
      <c r="BG69" s="24">
        <f t="shared" si="95"/>
        <v>320000</v>
      </c>
      <c r="BH69" s="86"/>
      <c r="BI69" s="86"/>
      <c r="BJ69" s="86"/>
      <c r="BK69" s="82"/>
    </row>
    <row r="70" spans="2:63" hidden="1" outlineLevel="1" x14ac:dyDescent="0.2">
      <c r="B70" s="82"/>
      <c r="C70" s="81" t="s">
        <v>468</v>
      </c>
      <c r="D70" s="82"/>
      <c r="E70" s="82"/>
      <c r="F70" s="88">
        <v>25000</v>
      </c>
      <c r="G70" s="319"/>
      <c r="H70" s="89">
        <v>45688</v>
      </c>
      <c r="I70" s="89">
        <v>46387</v>
      </c>
      <c r="J70" s="89"/>
      <c r="K70" s="82"/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6"/>
      <c r="X70" s="86"/>
      <c r="Y70" s="86"/>
      <c r="Z70" s="86"/>
      <c r="AA70" s="86"/>
      <c r="AB70" s="86"/>
      <c r="AC70" s="86"/>
      <c r="AD70" s="86"/>
      <c r="AE70" s="86"/>
      <c r="AF70" s="86"/>
      <c r="AG70" s="86"/>
      <c r="AH70" s="86"/>
      <c r="AI70" s="86"/>
      <c r="AJ70" s="86">
        <f>$F$70/12</f>
        <v>2083.3333333333335</v>
      </c>
      <c r="AK70" s="86">
        <f t="shared" ref="AK70:AU70" si="96">$F$70/12</f>
        <v>2083.3333333333335</v>
      </c>
      <c r="AL70" s="86">
        <f t="shared" si="96"/>
        <v>2083.3333333333335</v>
      </c>
      <c r="AM70" s="86">
        <f t="shared" si="96"/>
        <v>2083.3333333333335</v>
      </c>
      <c r="AN70" s="86">
        <f t="shared" si="96"/>
        <v>2083.3333333333335</v>
      </c>
      <c r="AO70" s="86">
        <f t="shared" si="96"/>
        <v>2083.3333333333335</v>
      </c>
      <c r="AP70" s="86">
        <f t="shared" si="96"/>
        <v>2083.3333333333335</v>
      </c>
      <c r="AQ70" s="86">
        <f t="shared" si="96"/>
        <v>2083.3333333333335</v>
      </c>
      <c r="AR70" s="86">
        <f t="shared" si="96"/>
        <v>2083.3333333333335</v>
      </c>
      <c r="AS70" s="86">
        <f t="shared" si="96"/>
        <v>2083.3333333333335</v>
      </c>
      <c r="AT70" s="86">
        <f t="shared" si="96"/>
        <v>2083.3333333333335</v>
      </c>
      <c r="AU70" s="86">
        <f t="shared" si="96"/>
        <v>2083.3333333333335</v>
      </c>
      <c r="AV70" s="82"/>
      <c r="AW70" s="86">
        <f t="shared" si="90"/>
        <v>0</v>
      </c>
      <c r="AX70" s="86">
        <f t="shared" si="91"/>
        <v>0</v>
      </c>
      <c r="AY70" s="86">
        <f t="shared" si="91"/>
        <v>0</v>
      </c>
      <c r="AZ70" s="86">
        <f t="shared" si="91"/>
        <v>0</v>
      </c>
      <c r="BA70" s="86">
        <f t="shared" si="91"/>
        <v>6250</v>
      </c>
      <c r="BB70" s="86">
        <f t="shared" si="91"/>
        <v>6250</v>
      </c>
      <c r="BC70" s="86">
        <f t="shared" si="91"/>
        <v>6250</v>
      </c>
      <c r="BD70" s="86">
        <f t="shared" si="91"/>
        <v>6250</v>
      </c>
      <c r="BE70" s="82"/>
      <c r="BF70" s="24">
        <f t="shared" ref="BF70:BG70" si="97">SUMIFS($AW70:$BD70,$AW$11:$BD$11,"&gt;"&amp;BE$11,$AW$11:$BD$11,"&lt;="&amp;BF$11)</f>
        <v>0</v>
      </c>
      <c r="BG70" s="24">
        <f t="shared" si="97"/>
        <v>25000</v>
      </c>
      <c r="BH70" s="321">
        <v>25000</v>
      </c>
      <c r="BI70" s="86"/>
      <c r="BJ70" s="86"/>
      <c r="BK70" s="82"/>
    </row>
    <row r="71" spans="2:63" hidden="1" outlineLevel="1" x14ac:dyDescent="0.2">
      <c r="B71" s="82"/>
      <c r="C71" s="81" t="s">
        <v>469</v>
      </c>
      <c r="D71" s="82"/>
      <c r="E71" s="82"/>
      <c r="F71" s="88">
        <f>40000+40000</f>
        <v>80000</v>
      </c>
      <c r="G71" s="83">
        <f>F71/12</f>
        <v>6666.666666666667</v>
      </c>
      <c r="H71" s="89">
        <v>45688</v>
      </c>
      <c r="I71" s="89">
        <v>46022</v>
      </c>
      <c r="J71" s="89"/>
      <c r="K71" s="82"/>
      <c r="L71" s="86">
        <f>IF(AND($H71&lt;=L$13,$I71&gt;=L$13),$G71,0)</f>
        <v>0</v>
      </c>
      <c r="M71" s="86">
        <f t="shared" si="93"/>
        <v>0</v>
      </c>
      <c r="N71" s="86">
        <f t="shared" si="93"/>
        <v>0</v>
      </c>
      <c r="O71" s="86">
        <f t="shared" si="93"/>
        <v>0</v>
      </c>
      <c r="P71" s="86">
        <f t="shared" si="93"/>
        <v>0</v>
      </c>
      <c r="Q71" s="86">
        <f t="shared" si="93"/>
        <v>0</v>
      </c>
      <c r="R71" s="86">
        <f t="shared" si="93"/>
        <v>0</v>
      </c>
      <c r="S71" s="86">
        <f t="shared" si="93"/>
        <v>0</v>
      </c>
      <c r="T71" s="86">
        <f t="shared" si="93"/>
        <v>0</v>
      </c>
      <c r="U71" s="86">
        <f t="shared" si="93"/>
        <v>0</v>
      </c>
      <c r="V71" s="86">
        <f t="shared" si="93"/>
        <v>0</v>
      </c>
      <c r="W71" s="86">
        <f t="shared" si="93"/>
        <v>0</v>
      </c>
      <c r="X71" s="86">
        <f t="shared" si="93"/>
        <v>0</v>
      </c>
      <c r="Y71" s="86">
        <f t="shared" si="93"/>
        <v>0</v>
      </c>
      <c r="Z71" s="86">
        <f t="shared" si="93"/>
        <v>0</v>
      </c>
      <c r="AA71" s="86">
        <f t="shared" si="93"/>
        <v>0</v>
      </c>
      <c r="AB71" s="86">
        <f t="shared" si="93"/>
        <v>0</v>
      </c>
      <c r="AC71" s="86">
        <f t="shared" si="93"/>
        <v>0</v>
      </c>
      <c r="AD71" s="86">
        <f t="shared" si="93"/>
        <v>0</v>
      </c>
      <c r="AE71" s="86">
        <f t="shared" si="93"/>
        <v>0</v>
      </c>
      <c r="AF71" s="86">
        <f t="shared" si="93"/>
        <v>0</v>
      </c>
      <c r="AG71" s="86">
        <f t="shared" si="93"/>
        <v>0</v>
      </c>
      <c r="AH71" s="86">
        <f t="shared" si="93"/>
        <v>0</v>
      </c>
      <c r="AI71" s="86">
        <f t="shared" si="93"/>
        <v>0</v>
      </c>
      <c r="AJ71" s="86">
        <f t="shared" si="93"/>
        <v>6666.666666666667</v>
      </c>
      <c r="AK71" s="86">
        <f t="shared" si="93"/>
        <v>6666.666666666667</v>
      </c>
      <c r="AL71" s="86">
        <f t="shared" si="93"/>
        <v>6666.666666666667</v>
      </c>
      <c r="AM71" s="86">
        <f t="shared" si="93"/>
        <v>6666.666666666667</v>
      </c>
      <c r="AN71" s="86">
        <f t="shared" si="93"/>
        <v>6666.666666666667</v>
      </c>
      <c r="AO71" s="86">
        <f t="shared" si="93"/>
        <v>6666.666666666667</v>
      </c>
      <c r="AP71" s="86">
        <f t="shared" si="93"/>
        <v>6666.666666666667</v>
      </c>
      <c r="AQ71" s="86">
        <f t="shared" si="93"/>
        <v>6666.666666666667</v>
      </c>
      <c r="AR71" s="86">
        <f t="shared" si="93"/>
        <v>6666.666666666667</v>
      </c>
      <c r="AS71" s="86">
        <f t="shared" si="93"/>
        <v>6666.666666666667</v>
      </c>
      <c r="AT71" s="86">
        <f t="shared" si="93"/>
        <v>6666.666666666667</v>
      </c>
      <c r="AU71" s="86">
        <f t="shared" si="93"/>
        <v>6666.666666666667</v>
      </c>
      <c r="AV71" s="82"/>
      <c r="AW71" s="86">
        <f t="shared" si="90"/>
        <v>0</v>
      </c>
      <c r="AX71" s="86">
        <f t="shared" si="91"/>
        <v>0</v>
      </c>
      <c r="AY71" s="86">
        <f t="shared" si="91"/>
        <v>0</v>
      </c>
      <c r="AZ71" s="86">
        <f t="shared" si="91"/>
        <v>0</v>
      </c>
      <c r="BA71" s="86">
        <f t="shared" si="91"/>
        <v>20000</v>
      </c>
      <c r="BB71" s="86">
        <f t="shared" si="91"/>
        <v>20000</v>
      </c>
      <c r="BC71" s="86">
        <f t="shared" si="91"/>
        <v>20000</v>
      </c>
      <c r="BD71" s="86">
        <f t="shared" si="91"/>
        <v>20000</v>
      </c>
      <c r="BE71" s="82"/>
      <c r="BF71" s="24">
        <f t="shared" ref="BF71:BG71" si="98">SUMIFS($AW71:$BD71,$AW$11:$BD$11,"&gt;"&amp;BE$11,$AW$11:$BD$11,"&lt;="&amp;BF$11)</f>
        <v>0</v>
      </c>
      <c r="BG71" s="24">
        <f t="shared" si="98"/>
        <v>80000</v>
      </c>
      <c r="BH71" s="321"/>
      <c r="BI71" s="86"/>
      <c r="BJ71" s="86"/>
      <c r="BK71" s="82"/>
    </row>
    <row r="72" spans="2:63" hidden="1" outlineLevel="1" x14ac:dyDescent="0.2">
      <c r="B72" s="82"/>
      <c r="C72" s="81" t="s">
        <v>474</v>
      </c>
      <c r="D72" s="82"/>
      <c r="E72" s="82"/>
      <c r="F72" s="88">
        <v>55000</v>
      </c>
      <c r="G72" s="83">
        <f>F72/12</f>
        <v>4583.333333333333</v>
      </c>
      <c r="H72" s="89">
        <v>45688</v>
      </c>
      <c r="I72" s="89">
        <v>46022</v>
      </c>
      <c r="J72" s="89"/>
      <c r="K72" s="82"/>
      <c r="L72" s="86">
        <f>IF(AND($H72&lt;=L$13,$I72&gt;=L$13),$G72,0)</f>
        <v>0</v>
      </c>
      <c r="M72" s="86">
        <f t="shared" ref="M72:V73" si="99">IF(AND($H72&lt;=M$13,$I72&gt;=M$13),$G72,0)</f>
        <v>0</v>
      </c>
      <c r="N72" s="86">
        <f t="shared" si="99"/>
        <v>0</v>
      </c>
      <c r="O72" s="86">
        <f t="shared" si="99"/>
        <v>0</v>
      </c>
      <c r="P72" s="86">
        <f t="shared" si="99"/>
        <v>0</v>
      </c>
      <c r="Q72" s="86">
        <f t="shared" si="99"/>
        <v>0</v>
      </c>
      <c r="R72" s="86">
        <f t="shared" si="99"/>
        <v>0</v>
      </c>
      <c r="S72" s="86">
        <f t="shared" si="99"/>
        <v>0</v>
      </c>
      <c r="T72" s="86">
        <f t="shared" si="99"/>
        <v>0</v>
      </c>
      <c r="U72" s="86">
        <f t="shared" si="99"/>
        <v>0</v>
      </c>
      <c r="V72" s="86">
        <f t="shared" si="99"/>
        <v>0</v>
      </c>
      <c r="W72" s="86">
        <f t="shared" ref="W72:AF73" si="100">IF(AND($H72&lt;=W$13,$I72&gt;=W$13),$G72,0)</f>
        <v>0</v>
      </c>
      <c r="X72" s="86">
        <f t="shared" si="100"/>
        <v>0</v>
      </c>
      <c r="Y72" s="86">
        <f t="shared" si="100"/>
        <v>0</v>
      </c>
      <c r="Z72" s="86">
        <f t="shared" si="100"/>
        <v>0</v>
      </c>
      <c r="AA72" s="86">
        <f t="shared" si="100"/>
        <v>0</v>
      </c>
      <c r="AB72" s="86">
        <f t="shared" si="100"/>
        <v>0</v>
      </c>
      <c r="AC72" s="86">
        <f t="shared" si="100"/>
        <v>0</v>
      </c>
      <c r="AD72" s="86">
        <f t="shared" si="100"/>
        <v>0</v>
      </c>
      <c r="AE72" s="86">
        <f t="shared" si="100"/>
        <v>0</v>
      </c>
      <c r="AF72" s="86">
        <f t="shared" si="100"/>
        <v>0</v>
      </c>
      <c r="AG72" s="86">
        <f t="shared" ref="AG72:AU73" si="101">IF(AND($H72&lt;=AG$13,$I72&gt;=AG$13),$G72,0)</f>
        <v>0</v>
      </c>
      <c r="AH72" s="86">
        <f t="shared" si="101"/>
        <v>0</v>
      </c>
      <c r="AI72" s="86">
        <f t="shared" si="101"/>
        <v>0</v>
      </c>
      <c r="AJ72" s="86">
        <f t="shared" si="101"/>
        <v>4583.333333333333</v>
      </c>
      <c r="AK72" s="86">
        <f t="shared" si="101"/>
        <v>4583.333333333333</v>
      </c>
      <c r="AL72" s="86">
        <f t="shared" si="101"/>
        <v>4583.333333333333</v>
      </c>
      <c r="AM72" s="86">
        <f t="shared" si="101"/>
        <v>4583.333333333333</v>
      </c>
      <c r="AN72" s="86">
        <f t="shared" si="101"/>
        <v>4583.333333333333</v>
      </c>
      <c r="AO72" s="86">
        <f t="shared" si="101"/>
        <v>4583.333333333333</v>
      </c>
      <c r="AP72" s="86">
        <f t="shared" si="101"/>
        <v>4583.333333333333</v>
      </c>
      <c r="AQ72" s="86">
        <f t="shared" si="101"/>
        <v>4583.333333333333</v>
      </c>
      <c r="AR72" s="86">
        <f t="shared" si="101"/>
        <v>4583.333333333333</v>
      </c>
      <c r="AS72" s="86">
        <f t="shared" si="101"/>
        <v>4583.333333333333</v>
      </c>
      <c r="AT72" s="86">
        <f t="shared" si="101"/>
        <v>4583.333333333333</v>
      </c>
      <c r="AU72" s="86">
        <f t="shared" si="101"/>
        <v>4583.333333333333</v>
      </c>
      <c r="AV72" s="82"/>
      <c r="AW72" s="86">
        <f t="shared" ref="AW72:BD72" si="102">SUMIFS($L72:$AU72,$L$11:$AU$11,"&gt;"&amp;AV$11,$L$11:$AU$11,"&lt;="&amp;AW$11)</f>
        <v>0</v>
      </c>
      <c r="AX72" s="86">
        <f t="shared" si="102"/>
        <v>0</v>
      </c>
      <c r="AY72" s="86">
        <f t="shared" si="102"/>
        <v>0</v>
      </c>
      <c r="AZ72" s="86">
        <f t="shared" si="102"/>
        <v>0</v>
      </c>
      <c r="BA72" s="86">
        <f t="shared" si="102"/>
        <v>13750</v>
      </c>
      <c r="BB72" s="86">
        <f t="shared" si="102"/>
        <v>13750</v>
      </c>
      <c r="BC72" s="86">
        <f t="shared" si="102"/>
        <v>13750</v>
      </c>
      <c r="BD72" s="86">
        <f t="shared" si="102"/>
        <v>13750</v>
      </c>
      <c r="BE72" s="82"/>
      <c r="BF72" s="24">
        <f>SUMIFS($AW72:$BD72,$AW$11:$BD$11,"&gt;"&amp;BE$11,$AW$11:$BD$11,"&lt;="&amp;BF$11)</f>
        <v>0</v>
      </c>
      <c r="BG72" s="24">
        <f>SUMIFS($AW72:$BD72,$AW$11:$BD$11,"&gt;"&amp;BF$11,$AW$11:$BD$11,"&lt;="&amp;BG$11)</f>
        <v>55000</v>
      </c>
      <c r="BH72" s="321"/>
      <c r="BI72" s="86"/>
      <c r="BJ72" s="86"/>
      <c r="BK72" s="82"/>
    </row>
    <row r="73" spans="2:63" hidden="1" outlineLevel="1" x14ac:dyDescent="0.2">
      <c r="B73" s="82"/>
      <c r="C73" s="81" t="s">
        <v>470</v>
      </c>
      <c r="D73" s="82"/>
      <c r="E73" s="82"/>
      <c r="F73" s="88">
        <v>10000</v>
      </c>
      <c r="G73" s="83">
        <f>F73/12</f>
        <v>833.33333333333337</v>
      </c>
      <c r="H73" s="89">
        <v>45688</v>
      </c>
      <c r="I73" s="89">
        <v>46022</v>
      </c>
      <c r="J73" s="320"/>
      <c r="K73" s="82"/>
      <c r="L73" s="86">
        <f>IF(AND($H73&lt;=L$13,$I73&gt;=L$13),$G73,0)</f>
        <v>0</v>
      </c>
      <c r="M73" s="86">
        <f t="shared" si="99"/>
        <v>0</v>
      </c>
      <c r="N73" s="86">
        <f t="shared" si="99"/>
        <v>0</v>
      </c>
      <c r="O73" s="86">
        <f t="shared" si="99"/>
        <v>0</v>
      </c>
      <c r="P73" s="86">
        <f t="shared" si="99"/>
        <v>0</v>
      </c>
      <c r="Q73" s="86">
        <f t="shared" si="99"/>
        <v>0</v>
      </c>
      <c r="R73" s="86">
        <f t="shared" si="99"/>
        <v>0</v>
      </c>
      <c r="S73" s="86">
        <f t="shared" si="99"/>
        <v>0</v>
      </c>
      <c r="T73" s="86">
        <f t="shared" si="99"/>
        <v>0</v>
      </c>
      <c r="U73" s="86">
        <f t="shared" si="99"/>
        <v>0</v>
      </c>
      <c r="V73" s="86">
        <f t="shared" si="99"/>
        <v>0</v>
      </c>
      <c r="W73" s="86">
        <f t="shared" si="100"/>
        <v>0</v>
      </c>
      <c r="X73" s="86">
        <f t="shared" si="100"/>
        <v>0</v>
      </c>
      <c r="Y73" s="86">
        <f t="shared" si="100"/>
        <v>0</v>
      </c>
      <c r="Z73" s="86">
        <f t="shared" si="100"/>
        <v>0</v>
      </c>
      <c r="AA73" s="86">
        <f t="shared" si="100"/>
        <v>0</v>
      </c>
      <c r="AB73" s="86">
        <f t="shared" si="100"/>
        <v>0</v>
      </c>
      <c r="AC73" s="86">
        <f t="shared" si="100"/>
        <v>0</v>
      </c>
      <c r="AD73" s="86">
        <f t="shared" si="100"/>
        <v>0</v>
      </c>
      <c r="AE73" s="86">
        <f t="shared" si="100"/>
        <v>0</v>
      </c>
      <c r="AF73" s="86">
        <f t="shared" si="100"/>
        <v>0</v>
      </c>
      <c r="AG73" s="86">
        <f t="shared" si="101"/>
        <v>0</v>
      </c>
      <c r="AH73" s="86">
        <f t="shared" si="101"/>
        <v>0</v>
      </c>
      <c r="AI73" s="86">
        <f t="shared" si="101"/>
        <v>0</v>
      </c>
      <c r="AJ73" s="86">
        <f t="shared" si="101"/>
        <v>833.33333333333337</v>
      </c>
      <c r="AK73" s="86">
        <f t="shared" si="101"/>
        <v>833.33333333333337</v>
      </c>
      <c r="AL73" s="86">
        <f t="shared" si="101"/>
        <v>833.33333333333337</v>
      </c>
      <c r="AM73" s="86">
        <f t="shared" si="101"/>
        <v>833.33333333333337</v>
      </c>
      <c r="AN73" s="86">
        <f t="shared" si="101"/>
        <v>833.33333333333337</v>
      </c>
      <c r="AO73" s="86">
        <f t="shared" si="101"/>
        <v>833.33333333333337</v>
      </c>
      <c r="AP73" s="86">
        <f t="shared" si="101"/>
        <v>833.33333333333337</v>
      </c>
      <c r="AQ73" s="86">
        <f t="shared" si="101"/>
        <v>833.33333333333337</v>
      </c>
      <c r="AR73" s="86">
        <f t="shared" si="101"/>
        <v>833.33333333333337</v>
      </c>
      <c r="AS73" s="86">
        <f t="shared" si="101"/>
        <v>833.33333333333337</v>
      </c>
      <c r="AT73" s="86">
        <f t="shared" si="101"/>
        <v>833.33333333333337</v>
      </c>
      <c r="AU73" s="86">
        <f t="shared" si="101"/>
        <v>833.33333333333337</v>
      </c>
      <c r="AV73" s="82"/>
      <c r="AW73" s="86">
        <f t="shared" si="90"/>
        <v>0</v>
      </c>
      <c r="AX73" s="86">
        <f t="shared" si="91"/>
        <v>0</v>
      </c>
      <c r="AY73" s="86">
        <f t="shared" si="91"/>
        <v>0</v>
      </c>
      <c r="AZ73" s="86">
        <f t="shared" si="91"/>
        <v>0</v>
      </c>
      <c r="BA73" s="86">
        <f t="shared" si="91"/>
        <v>2500</v>
      </c>
      <c r="BB73" s="86">
        <f t="shared" si="91"/>
        <v>2500</v>
      </c>
      <c r="BC73" s="86">
        <f t="shared" si="91"/>
        <v>2500</v>
      </c>
      <c r="BD73" s="86">
        <f t="shared" si="91"/>
        <v>2500</v>
      </c>
      <c r="BE73" s="82"/>
      <c r="BF73" s="24">
        <f t="shared" ref="BF73:BG75" si="103">SUMIFS($AW73:$BD73,$AW$11:$BD$11,"&gt;"&amp;BE$11,$AW$11:$BD$11,"&lt;="&amp;BF$11)</f>
        <v>0</v>
      </c>
      <c r="BG73" s="24">
        <f t="shared" si="103"/>
        <v>10000</v>
      </c>
      <c r="BH73" s="321">
        <f>40000+30000</f>
        <v>70000</v>
      </c>
      <c r="BI73" s="321">
        <f>20000+20000</f>
        <v>40000</v>
      </c>
      <c r="BJ73" s="321">
        <f>20000+20000</f>
        <v>40000</v>
      </c>
      <c r="BK73" s="82"/>
    </row>
    <row r="74" spans="2:63" hidden="1" outlineLevel="1" x14ac:dyDescent="0.2">
      <c r="B74" s="82"/>
      <c r="C74" s="81" t="s">
        <v>471</v>
      </c>
      <c r="D74" s="82"/>
      <c r="E74" s="82"/>
      <c r="F74" s="175"/>
      <c r="G74" s="94"/>
      <c r="H74" s="320"/>
      <c r="I74" s="320"/>
      <c r="J74" s="320"/>
      <c r="K74" s="82"/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6"/>
      <c r="Y74" s="86"/>
      <c r="Z74" s="86"/>
      <c r="AA74" s="86"/>
      <c r="AB74" s="86"/>
      <c r="AC74" s="86"/>
      <c r="AD74" s="86"/>
      <c r="AE74" s="86"/>
      <c r="AF74" s="86"/>
      <c r="AG74" s="86"/>
      <c r="AH74" s="86"/>
      <c r="AI74" s="86"/>
      <c r="AJ74" s="86"/>
      <c r="AK74" s="86"/>
      <c r="AL74" s="86"/>
      <c r="AM74" s="86"/>
      <c r="AN74" s="86"/>
      <c r="AO74" s="86"/>
      <c r="AP74" s="86"/>
      <c r="AQ74" s="86"/>
      <c r="AR74" s="86"/>
      <c r="AS74" s="86"/>
      <c r="AT74" s="86"/>
      <c r="AU74" s="86"/>
      <c r="AV74" s="82"/>
      <c r="AW74" s="86">
        <f t="shared" si="90"/>
        <v>0</v>
      </c>
      <c r="AX74" s="86">
        <f t="shared" si="91"/>
        <v>0</v>
      </c>
      <c r="AY74" s="86">
        <f t="shared" si="91"/>
        <v>0</v>
      </c>
      <c r="AZ74" s="86">
        <f t="shared" si="91"/>
        <v>0</v>
      </c>
      <c r="BA74" s="86">
        <f t="shared" si="91"/>
        <v>0</v>
      </c>
      <c r="BB74" s="86">
        <f t="shared" si="91"/>
        <v>0</v>
      </c>
      <c r="BC74" s="86">
        <f t="shared" si="91"/>
        <v>0</v>
      </c>
      <c r="BD74" s="86">
        <f t="shared" si="91"/>
        <v>0</v>
      </c>
      <c r="BE74" s="82"/>
      <c r="BF74" s="24">
        <f t="shared" si="103"/>
        <v>0</v>
      </c>
      <c r="BG74" s="24">
        <f t="shared" si="103"/>
        <v>0</v>
      </c>
      <c r="BH74" s="321">
        <v>150000</v>
      </c>
      <c r="BI74" s="321"/>
      <c r="BJ74" s="321"/>
      <c r="BK74" s="82"/>
    </row>
    <row r="75" spans="2:63" hidden="1" outlineLevel="1" x14ac:dyDescent="0.2">
      <c r="B75" s="82"/>
      <c r="C75" s="90" t="s">
        <v>472</v>
      </c>
      <c r="D75" s="82"/>
      <c r="E75" s="82"/>
      <c r="F75" s="175"/>
      <c r="G75" s="94"/>
      <c r="H75" s="320"/>
      <c r="I75" s="320"/>
      <c r="J75" s="320"/>
      <c r="K75" s="82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6"/>
      <c r="Z75" s="86"/>
      <c r="AA75" s="86"/>
      <c r="AB75" s="86"/>
      <c r="AC75" s="86"/>
      <c r="AD75" s="86"/>
      <c r="AE75" s="86"/>
      <c r="AF75" s="86"/>
      <c r="AG75" s="86"/>
      <c r="AH75" s="86"/>
      <c r="AI75" s="86"/>
      <c r="AJ75" s="86"/>
      <c r="AK75" s="86"/>
      <c r="AL75" s="86"/>
      <c r="AM75" s="86"/>
      <c r="AN75" s="86"/>
      <c r="AO75" s="86"/>
      <c r="AP75" s="86"/>
      <c r="AQ75" s="86"/>
      <c r="AR75" s="86"/>
      <c r="AS75" s="86"/>
      <c r="AT75" s="86"/>
      <c r="AU75" s="86"/>
      <c r="AV75" s="82"/>
      <c r="AW75" s="91">
        <f t="shared" si="90"/>
        <v>0</v>
      </c>
      <c r="AX75" s="91">
        <f t="shared" si="91"/>
        <v>0</v>
      </c>
      <c r="AY75" s="91">
        <f t="shared" si="91"/>
        <v>0</v>
      </c>
      <c r="AZ75" s="91">
        <f t="shared" si="91"/>
        <v>0</v>
      </c>
      <c r="BA75" s="91">
        <f t="shared" si="91"/>
        <v>0</v>
      </c>
      <c r="BB75" s="91">
        <f t="shared" si="91"/>
        <v>0</v>
      </c>
      <c r="BC75" s="91">
        <f t="shared" si="91"/>
        <v>0</v>
      </c>
      <c r="BD75" s="91">
        <f t="shared" si="91"/>
        <v>0</v>
      </c>
      <c r="BE75" s="82"/>
      <c r="BF75" s="76">
        <f t="shared" si="103"/>
        <v>0</v>
      </c>
      <c r="BG75" s="76">
        <f t="shared" si="103"/>
        <v>0</v>
      </c>
      <c r="BH75" s="322"/>
      <c r="BI75" s="322">
        <f>7344+7344</f>
        <v>14688</v>
      </c>
      <c r="BJ75" s="322"/>
      <c r="BK75" s="82"/>
    </row>
    <row r="76" spans="2:63" collapsed="1" x14ac:dyDescent="0.2">
      <c r="B76" s="82"/>
      <c r="C76" s="23" t="s">
        <v>473</v>
      </c>
      <c r="D76" s="82"/>
      <c r="E76" s="82"/>
      <c r="F76" s="175"/>
      <c r="G76" s="94"/>
      <c r="H76" s="320"/>
      <c r="I76" s="320"/>
      <c r="J76" s="320"/>
      <c r="K76" s="82"/>
      <c r="L76" s="86">
        <f t="shared" ref="L76:AU76" si="104">SUM(L67:L75)</f>
        <v>0</v>
      </c>
      <c r="M76" s="86">
        <f t="shared" si="104"/>
        <v>0</v>
      </c>
      <c r="N76" s="86">
        <f t="shared" si="104"/>
        <v>0</v>
      </c>
      <c r="O76" s="86">
        <f t="shared" si="104"/>
        <v>0</v>
      </c>
      <c r="P76" s="86">
        <f t="shared" si="104"/>
        <v>0</v>
      </c>
      <c r="Q76" s="86">
        <f t="shared" si="104"/>
        <v>0</v>
      </c>
      <c r="R76" s="86">
        <f t="shared" si="104"/>
        <v>0</v>
      </c>
      <c r="S76" s="86">
        <f t="shared" si="104"/>
        <v>0</v>
      </c>
      <c r="T76" s="86">
        <f t="shared" si="104"/>
        <v>0</v>
      </c>
      <c r="U76" s="86">
        <f t="shared" si="104"/>
        <v>0</v>
      </c>
      <c r="V76" s="86">
        <f t="shared" si="104"/>
        <v>0</v>
      </c>
      <c r="W76" s="86">
        <f t="shared" si="104"/>
        <v>0</v>
      </c>
      <c r="X76" s="86">
        <f t="shared" si="104"/>
        <v>6791.666666666667</v>
      </c>
      <c r="Y76" s="86">
        <f t="shared" si="104"/>
        <v>6791.666666666667</v>
      </c>
      <c r="Z76" s="86">
        <f t="shared" si="104"/>
        <v>6791.666666666667</v>
      </c>
      <c r="AA76" s="86">
        <f t="shared" si="104"/>
        <v>6791.666666666667</v>
      </c>
      <c r="AB76" s="86">
        <f t="shared" si="104"/>
        <v>6791.666666666667</v>
      </c>
      <c r="AC76" s="86">
        <f t="shared" si="104"/>
        <v>6791.666666666667</v>
      </c>
      <c r="AD76" s="86">
        <f t="shared" si="104"/>
        <v>6791.666666666667</v>
      </c>
      <c r="AE76" s="86">
        <f t="shared" si="104"/>
        <v>6791.666666666667</v>
      </c>
      <c r="AF76" s="86">
        <f t="shared" si="104"/>
        <v>6791.666666666667</v>
      </c>
      <c r="AG76" s="86">
        <f t="shared" si="104"/>
        <v>6791.666666666667</v>
      </c>
      <c r="AH76" s="86">
        <f t="shared" si="104"/>
        <v>6791.666666666667</v>
      </c>
      <c r="AI76" s="86">
        <f t="shared" si="104"/>
        <v>6791.666666666667</v>
      </c>
      <c r="AJ76" s="86">
        <f t="shared" si="104"/>
        <v>54895.833333333343</v>
      </c>
      <c r="AK76" s="86">
        <f t="shared" si="104"/>
        <v>54895.833333333343</v>
      </c>
      <c r="AL76" s="86">
        <f t="shared" si="104"/>
        <v>54895.833333333343</v>
      </c>
      <c r="AM76" s="86">
        <f t="shared" si="104"/>
        <v>54895.833333333343</v>
      </c>
      <c r="AN76" s="86">
        <f t="shared" si="104"/>
        <v>54895.833333333343</v>
      </c>
      <c r="AO76" s="86">
        <f t="shared" si="104"/>
        <v>54895.833333333343</v>
      </c>
      <c r="AP76" s="86">
        <f t="shared" si="104"/>
        <v>54895.833333333343</v>
      </c>
      <c r="AQ76" s="86">
        <f t="shared" si="104"/>
        <v>54895.833333333343</v>
      </c>
      <c r="AR76" s="86">
        <f t="shared" si="104"/>
        <v>54895.833333333343</v>
      </c>
      <c r="AS76" s="86">
        <f t="shared" si="104"/>
        <v>54895.833333333343</v>
      </c>
      <c r="AT76" s="86">
        <f t="shared" si="104"/>
        <v>54895.833333333343</v>
      </c>
      <c r="AU76" s="86">
        <f t="shared" si="104"/>
        <v>54895.833333333343</v>
      </c>
      <c r="AV76" s="82"/>
      <c r="AW76" s="86">
        <f t="shared" ref="AW76:BD76" si="105">SUM(AW67:AW75)</f>
        <v>20375</v>
      </c>
      <c r="AX76" s="86">
        <f t="shared" si="105"/>
        <v>20375</v>
      </c>
      <c r="AY76" s="86">
        <f t="shared" si="105"/>
        <v>20375</v>
      </c>
      <c r="AZ76" s="86">
        <f t="shared" si="105"/>
        <v>20375</v>
      </c>
      <c r="BA76" s="86">
        <f t="shared" si="105"/>
        <v>164687.5</v>
      </c>
      <c r="BB76" s="86">
        <f t="shared" si="105"/>
        <v>164687.5</v>
      </c>
      <c r="BC76" s="86">
        <f t="shared" si="105"/>
        <v>164687.5</v>
      </c>
      <c r="BD76" s="86">
        <f t="shared" si="105"/>
        <v>164687.5</v>
      </c>
      <c r="BE76" s="82"/>
      <c r="BF76" s="24">
        <f>SUM(BF67:BF75)</f>
        <v>81500</v>
      </c>
      <c r="BG76" s="24">
        <f>SUM(BG67:BG75)</f>
        <v>658750</v>
      </c>
      <c r="BH76" s="24">
        <f>SUM(BH67:BH75)</f>
        <v>245000</v>
      </c>
      <c r="BI76" s="24">
        <f>SUM(BI67:BI75)</f>
        <v>54688</v>
      </c>
      <c r="BJ76" s="24">
        <f>SUM(BJ67:BJ75)</f>
        <v>40000</v>
      </c>
      <c r="BK76" s="82"/>
    </row>
    <row r="77" spans="2:63" hidden="1" outlineLevel="1" x14ac:dyDescent="0.2">
      <c r="B77" s="82"/>
      <c r="C77" s="81"/>
      <c r="D77" s="82"/>
      <c r="E77" s="82"/>
      <c r="F77" s="175"/>
      <c r="G77" s="94"/>
      <c r="H77" s="320"/>
      <c r="I77" s="320"/>
      <c r="J77" s="320"/>
      <c r="K77" s="82"/>
      <c r="L77" s="86"/>
      <c r="M77" s="86"/>
      <c r="N77" s="86"/>
      <c r="O77" s="86"/>
      <c r="P77" s="86"/>
      <c r="Q77" s="86"/>
      <c r="R77" s="86"/>
      <c r="S77" s="86"/>
      <c r="T77" s="86"/>
      <c r="U77" s="86"/>
      <c r="V77" s="86"/>
      <c r="W77" s="86"/>
      <c r="X77" s="86"/>
      <c r="Y77" s="86"/>
      <c r="Z77" s="86"/>
      <c r="AA77" s="86"/>
      <c r="AB77" s="86"/>
      <c r="AC77" s="86"/>
      <c r="AD77" s="86"/>
      <c r="AE77" s="86"/>
      <c r="AF77" s="86"/>
      <c r="AG77" s="86"/>
      <c r="AH77" s="86"/>
      <c r="AI77" s="86"/>
      <c r="AJ77" s="86"/>
      <c r="AK77" s="86"/>
      <c r="AL77" s="86"/>
      <c r="AM77" s="86"/>
      <c r="AN77" s="86"/>
      <c r="AO77" s="86"/>
      <c r="AP77" s="86"/>
      <c r="AQ77" s="86"/>
      <c r="AR77" s="86"/>
      <c r="AS77" s="86"/>
      <c r="AT77" s="86"/>
      <c r="AU77" s="86"/>
      <c r="AV77" s="82"/>
      <c r="AW77" s="86"/>
      <c r="AX77" s="86"/>
      <c r="AY77" s="86"/>
      <c r="AZ77" s="86"/>
      <c r="BA77" s="86"/>
      <c r="BB77" s="86"/>
      <c r="BC77" s="86"/>
      <c r="BD77" s="86"/>
      <c r="BE77" s="82"/>
      <c r="BF77" s="24"/>
      <c r="BG77" s="24"/>
      <c r="BH77" s="321"/>
      <c r="BI77" s="321"/>
      <c r="BJ77" s="321"/>
      <c r="BK77" s="82"/>
    </row>
    <row r="78" spans="2:63" hidden="1" outlineLevel="1" x14ac:dyDescent="0.2">
      <c r="B78" s="82"/>
      <c r="C78" s="81" t="s">
        <v>15</v>
      </c>
      <c r="D78" s="82"/>
      <c r="E78" s="82"/>
      <c r="F78" s="88">
        <v>75000</v>
      </c>
      <c r="G78" s="83">
        <f>F78/12</f>
        <v>6250</v>
      </c>
      <c r="H78" s="89">
        <v>45322</v>
      </c>
      <c r="I78" s="89">
        <v>46022</v>
      </c>
      <c r="J78" s="89"/>
      <c r="K78" s="82"/>
      <c r="L78" s="86">
        <f>IF(AND($H78&lt;='Sales, COGS, Sales Team'!L$13,$I78&gt;='Sales, COGS, Sales Team'!L$13),$G78,0)</f>
        <v>0</v>
      </c>
      <c r="M78" s="86">
        <f>IF(AND($H78&lt;='Sales, COGS, Sales Team'!M$13,$I78&gt;='Sales, COGS, Sales Team'!M$13),$G78,0)</f>
        <v>0</v>
      </c>
      <c r="N78" s="86">
        <f>IF(AND($H78&lt;='Sales, COGS, Sales Team'!N$13,$I78&gt;='Sales, COGS, Sales Team'!N$13),$G78,0)</f>
        <v>0</v>
      </c>
      <c r="O78" s="86">
        <f>IF(AND($H78&lt;='Sales, COGS, Sales Team'!O$13,$I78&gt;='Sales, COGS, Sales Team'!O$13),$G78,0)</f>
        <v>0</v>
      </c>
      <c r="P78" s="86">
        <f>IF(AND($H78&lt;='Sales, COGS, Sales Team'!P$13,$I78&gt;='Sales, COGS, Sales Team'!P$13),$G78,0)</f>
        <v>0</v>
      </c>
      <c r="Q78" s="86">
        <f>IF(AND($H78&lt;='Sales, COGS, Sales Team'!Q$13,$I78&gt;='Sales, COGS, Sales Team'!Q$13),$G78,0)</f>
        <v>0</v>
      </c>
      <c r="R78" s="86">
        <f>IF(AND($H78&lt;='Sales, COGS, Sales Team'!R$13,$I78&gt;='Sales, COGS, Sales Team'!R$13),$G78,0)</f>
        <v>0</v>
      </c>
      <c r="S78" s="86">
        <f>IF(AND($H78&lt;='Sales, COGS, Sales Team'!S$13,$I78&gt;='Sales, COGS, Sales Team'!S$13),$G78,0)</f>
        <v>0</v>
      </c>
      <c r="T78" s="86">
        <f>IF(AND($H78&lt;='Sales, COGS, Sales Team'!T$13,$I78&gt;='Sales, COGS, Sales Team'!T$13),$G78,0)</f>
        <v>0</v>
      </c>
      <c r="U78" s="86">
        <f>IF(AND($H78&lt;='Sales, COGS, Sales Team'!U$13,$I78&gt;='Sales, COGS, Sales Team'!U$13),$G78,0)</f>
        <v>0</v>
      </c>
      <c r="V78" s="86">
        <f>IF(AND($H78&lt;='Sales, COGS, Sales Team'!V$13,$I78&gt;='Sales, COGS, Sales Team'!V$13),$G78,0)</f>
        <v>0</v>
      </c>
      <c r="W78" s="86">
        <f>IF(AND($H78&lt;='Sales, COGS, Sales Team'!W$13,$I78&gt;='Sales, COGS, Sales Team'!W$13),$G78,0)</f>
        <v>0</v>
      </c>
      <c r="X78" s="86">
        <f>IF(AND($H78&lt;='Sales, COGS, Sales Team'!X$13,$I78&gt;='Sales, COGS, Sales Team'!X$13),$G78,0)</f>
        <v>6250</v>
      </c>
      <c r="Y78" s="86">
        <f>IF(AND($H78&lt;='Sales, COGS, Sales Team'!Y$13,$I78&gt;='Sales, COGS, Sales Team'!Y$13),$G78,0)</f>
        <v>6250</v>
      </c>
      <c r="Z78" s="86">
        <f>IF(AND($H78&lt;='Sales, COGS, Sales Team'!Z$13,$I78&gt;='Sales, COGS, Sales Team'!Z$13),$G78,0)</f>
        <v>6250</v>
      </c>
      <c r="AA78" s="86">
        <f>IF(AND($H78&lt;='Sales, COGS, Sales Team'!AA$13,$I78&gt;='Sales, COGS, Sales Team'!AA$13),$G78,0)</f>
        <v>6250</v>
      </c>
      <c r="AB78" s="86">
        <f>IF(AND($H78&lt;='Sales, COGS, Sales Team'!AB$13,$I78&gt;='Sales, COGS, Sales Team'!AB$13),$G78,0)</f>
        <v>6250</v>
      </c>
      <c r="AC78" s="86">
        <f>IF(AND($H78&lt;='Sales, COGS, Sales Team'!AC$13,$I78&gt;='Sales, COGS, Sales Team'!AC$13),$G78,0)</f>
        <v>6250</v>
      </c>
      <c r="AD78" s="86">
        <f>IF(AND($H78&lt;='Sales, COGS, Sales Team'!AD$13,$I78&gt;='Sales, COGS, Sales Team'!AD$13),$G78,0)</f>
        <v>6250</v>
      </c>
      <c r="AE78" s="86">
        <f>IF(AND($H78&lt;='Sales, COGS, Sales Team'!AE$13,$I78&gt;='Sales, COGS, Sales Team'!AE$13),$G78,0)</f>
        <v>6250</v>
      </c>
      <c r="AF78" s="86">
        <f>IF(AND($H78&lt;='Sales, COGS, Sales Team'!AF$13,$I78&gt;='Sales, COGS, Sales Team'!AF$13),$G78,0)</f>
        <v>6250</v>
      </c>
      <c r="AG78" s="86">
        <f>IF(AND($H78&lt;='Sales, COGS, Sales Team'!AG$13,$I78&gt;='Sales, COGS, Sales Team'!AG$13),$G78,0)</f>
        <v>6250</v>
      </c>
      <c r="AH78" s="86">
        <f>IF(AND($H78&lt;='Sales, COGS, Sales Team'!AH$13,$I78&gt;='Sales, COGS, Sales Team'!AH$13),$G78,0)</f>
        <v>6250</v>
      </c>
      <c r="AI78" s="86">
        <f>IF(AND($H78&lt;='Sales, COGS, Sales Team'!AI$13,$I78&gt;='Sales, COGS, Sales Team'!AI$13),$G78,0)</f>
        <v>6250</v>
      </c>
      <c r="AJ78" s="86">
        <f>IF(AND($H78&lt;='Sales, COGS, Sales Team'!AJ$13,$I78&gt;='Sales, COGS, Sales Team'!AJ$13),$G78*(1+$G$90),0)</f>
        <v>14062.5</v>
      </c>
      <c r="AK78" s="86">
        <f>IF(AND($H78&lt;='Sales, COGS, Sales Team'!AK$13,$I78&gt;='Sales, COGS, Sales Team'!AK$13),$G78*(1+$G$90),0)</f>
        <v>14062.5</v>
      </c>
      <c r="AL78" s="86">
        <f>IF(AND($H78&lt;='Sales, COGS, Sales Team'!AL$13,$I78&gt;='Sales, COGS, Sales Team'!AL$13),$G78*(1+$G$90),0)</f>
        <v>14062.5</v>
      </c>
      <c r="AM78" s="86">
        <f>IF(AND($H78&lt;='Sales, COGS, Sales Team'!AM$13,$I78&gt;='Sales, COGS, Sales Team'!AM$13),$G78*(1+$G$90),0)</f>
        <v>14062.5</v>
      </c>
      <c r="AN78" s="86">
        <f>IF(AND($H78&lt;='Sales, COGS, Sales Team'!AN$13,$I78&gt;='Sales, COGS, Sales Team'!AN$13),$G78*(1+$G$90),0)</f>
        <v>14062.5</v>
      </c>
      <c r="AO78" s="86">
        <f>IF(AND($H78&lt;='Sales, COGS, Sales Team'!AO$13,$I78&gt;='Sales, COGS, Sales Team'!AO$13),$G78*(1+$G$90),0)</f>
        <v>14062.5</v>
      </c>
      <c r="AP78" s="86">
        <f>IF(AND($H78&lt;='Sales, COGS, Sales Team'!AP$13,$I78&gt;='Sales, COGS, Sales Team'!AP$13),$G78*(1+$G$90),0)</f>
        <v>14062.5</v>
      </c>
      <c r="AQ78" s="86">
        <f>IF(AND($H78&lt;='Sales, COGS, Sales Team'!AQ$13,$I78&gt;='Sales, COGS, Sales Team'!AQ$13),$G78*(1+$G$90),0)</f>
        <v>14062.5</v>
      </c>
      <c r="AR78" s="86">
        <f>IF(AND($H78&lt;='Sales, COGS, Sales Team'!AR$13,$I78&gt;='Sales, COGS, Sales Team'!AR$13),$G78*(1+$G$90),0)</f>
        <v>14062.5</v>
      </c>
      <c r="AS78" s="86">
        <f>IF(AND($H78&lt;='Sales, COGS, Sales Team'!AS$13,$I78&gt;='Sales, COGS, Sales Team'!AS$13),$G78*(1+$G$90),0)</f>
        <v>14062.5</v>
      </c>
      <c r="AT78" s="86">
        <f>IF(AND($H78&lt;='Sales, COGS, Sales Team'!AT$13,$I78&gt;='Sales, COGS, Sales Team'!AT$13),$G78*(1+$G$90),0)</f>
        <v>14062.5</v>
      </c>
      <c r="AU78" s="86">
        <f>IF(AND($H78&lt;='Sales, COGS, Sales Team'!AU$13,$I78&gt;='Sales, COGS, Sales Team'!AU$13),$G78*(1+$G$90),0)</f>
        <v>14062.5</v>
      </c>
      <c r="AV78" s="82"/>
      <c r="AW78" s="86">
        <f t="shared" ref="AW78:BD78" si="106">SUMIFS($L78:$AU78,$L$11:$AU$11,"&gt;"&amp;AV$11,$L$11:$AU$11,"&lt;="&amp;AW$11)</f>
        <v>18750</v>
      </c>
      <c r="AX78" s="86">
        <f t="shared" si="106"/>
        <v>18750</v>
      </c>
      <c r="AY78" s="86">
        <f t="shared" si="106"/>
        <v>18750</v>
      </c>
      <c r="AZ78" s="86">
        <f t="shared" si="106"/>
        <v>18750</v>
      </c>
      <c r="BA78" s="86">
        <f t="shared" si="106"/>
        <v>42187.5</v>
      </c>
      <c r="BB78" s="86">
        <f t="shared" si="106"/>
        <v>42187.5</v>
      </c>
      <c r="BC78" s="86">
        <f t="shared" si="106"/>
        <v>42187.5</v>
      </c>
      <c r="BD78" s="86">
        <f t="shared" si="106"/>
        <v>42187.5</v>
      </c>
      <c r="BE78" s="82"/>
      <c r="BF78" s="24">
        <f t="shared" ref="BF78:BG78" si="107">SUMIFS($AW78:$BD78,$AW$11:$BD$11,"&gt;"&amp;BE$11,$AW$11:$BD$11,"&lt;="&amp;BF$11)</f>
        <v>75000</v>
      </c>
      <c r="BG78" s="24">
        <f t="shared" si="107"/>
        <v>168750</v>
      </c>
      <c r="BH78" s="86"/>
      <c r="BI78" s="86"/>
      <c r="BJ78" s="86"/>
      <c r="BK78" s="82"/>
    </row>
    <row r="79" spans="2:63" hidden="1" outlineLevel="1" x14ac:dyDescent="0.2">
      <c r="B79" s="82"/>
      <c r="C79" s="81" t="s">
        <v>16</v>
      </c>
      <c r="D79" s="82"/>
      <c r="E79" s="82"/>
      <c r="F79" s="88">
        <v>24000</v>
      </c>
      <c r="G79" s="83">
        <f>F79/12</f>
        <v>2000</v>
      </c>
      <c r="H79" s="89">
        <v>45199</v>
      </c>
      <c r="I79" s="89">
        <v>46022</v>
      </c>
      <c r="J79" s="89"/>
      <c r="K79" s="82"/>
      <c r="L79" s="86">
        <f>IF(AND($H79&lt;='Sales, COGS, Sales Team'!L$13,$I79&gt;='Sales, COGS, Sales Team'!L$13),$G79,0)</f>
        <v>0</v>
      </c>
      <c r="M79" s="86">
        <f>IF(AND($H79&lt;='Sales, COGS, Sales Team'!M$13,$I79&gt;='Sales, COGS, Sales Team'!M$13),$G79,0)</f>
        <v>0</v>
      </c>
      <c r="N79" s="86">
        <f>IF(AND($H79&lt;='Sales, COGS, Sales Team'!N$13,$I79&gt;='Sales, COGS, Sales Team'!N$13),$G79,0)</f>
        <v>0</v>
      </c>
      <c r="O79" s="86">
        <f>IF(AND($H79&lt;='Sales, COGS, Sales Team'!O$13,$I79&gt;='Sales, COGS, Sales Team'!O$13),$G79,0)</f>
        <v>0</v>
      </c>
      <c r="P79" s="86">
        <f>IF(AND($H79&lt;='Sales, COGS, Sales Team'!P$13,$I79&gt;='Sales, COGS, Sales Team'!P$13),$G79,0)</f>
        <v>0</v>
      </c>
      <c r="Q79" s="86">
        <f>IF(AND($H79&lt;='Sales, COGS, Sales Team'!Q$13,$I79&gt;='Sales, COGS, Sales Team'!Q$13),$G79,0)</f>
        <v>0</v>
      </c>
      <c r="R79" s="86">
        <f>IF(AND($H79&lt;='Sales, COGS, Sales Team'!R$13,$I79&gt;='Sales, COGS, Sales Team'!R$13),$G79,0)</f>
        <v>0</v>
      </c>
      <c r="S79" s="86">
        <f>IF(AND($H79&lt;='Sales, COGS, Sales Team'!S$13,$I79&gt;='Sales, COGS, Sales Team'!S$13),$G79,0)</f>
        <v>0</v>
      </c>
      <c r="T79" s="86">
        <f>IF(AND($H79&lt;='Sales, COGS, Sales Team'!T$13,$I79&gt;='Sales, COGS, Sales Team'!T$13),$G79,0)</f>
        <v>2000</v>
      </c>
      <c r="U79" s="86">
        <f>IF(AND($H79&lt;='Sales, COGS, Sales Team'!U$13,$I79&gt;='Sales, COGS, Sales Team'!U$13),$G79,0)</f>
        <v>2000</v>
      </c>
      <c r="V79" s="86">
        <f>IF(AND($H79&lt;='Sales, COGS, Sales Team'!V$13,$I79&gt;='Sales, COGS, Sales Team'!V$13),$G79,0)</f>
        <v>2000</v>
      </c>
      <c r="W79" s="86">
        <f>IF(AND($H79&lt;='Sales, COGS, Sales Team'!W$13,$I79&gt;='Sales, COGS, Sales Team'!W$13),$G79,0)</f>
        <v>2000</v>
      </c>
      <c r="X79" s="86">
        <f>IF(AND($H79&lt;='Sales, COGS, Sales Team'!X$13,$I79&gt;='Sales, COGS, Sales Team'!X$13),$G79,0)</f>
        <v>2000</v>
      </c>
      <c r="Y79" s="86">
        <f>IF(AND($H79&lt;='Sales, COGS, Sales Team'!Y$13,$I79&gt;='Sales, COGS, Sales Team'!Y$13),$G79,0)</f>
        <v>2000</v>
      </c>
      <c r="Z79" s="86">
        <f>IF(AND($H79&lt;='Sales, COGS, Sales Team'!Z$13,$I79&gt;='Sales, COGS, Sales Team'!Z$13),$G79,0)</f>
        <v>2000</v>
      </c>
      <c r="AA79" s="86">
        <f>IF(AND($H79&lt;='Sales, COGS, Sales Team'!AA$13,$I79&gt;='Sales, COGS, Sales Team'!AA$13),$G79,0)</f>
        <v>2000</v>
      </c>
      <c r="AB79" s="86">
        <f>IF(AND($H79&lt;='Sales, COGS, Sales Team'!AB$13,$I79&gt;='Sales, COGS, Sales Team'!AB$13),$G79,0)</f>
        <v>2000</v>
      </c>
      <c r="AC79" s="86">
        <f>IF(AND($H79&lt;='Sales, COGS, Sales Team'!AC$13,$I79&gt;='Sales, COGS, Sales Team'!AC$13),$G79,0)</f>
        <v>2000</v>
      </c>
      <c r="AD79" s="86">
        <f>IF(AND($H79&lt;='Sales, COGS, Sales Team'!AD$13,$I79&gt;='Sales, COGS, Sales Team'!AD$13),$G79,0)</f>
        <v>2000</v>
      </c>
      <c r="AE79" s="86">
        <f>IF(AND($H79&lt;='Sales, COGS, Sales Team'!AE$13,$I79&gt;='Sales, COGS, Sales Team'!AE$13),$G79,0)</f>
        <v>2000</v>
      </c>
      <c r="AF79" s="86">
        <f>IF(AND($H79&lt;='Sales, COGS, Sales Team'!AF$13,$I79&gt;='Sales, COGS, Sales Team'!AF$13),$G79,0)</f>
        <v>2000</v>
      </c>
      <c r="AG79" s="86">
        <f>IF(AND($H79&lt;='Sales, COGS, Sales Team'!AG$13,$I79&gt;='Sales, COGS, Sales Team'!AG$13),$G79,0)</f>
        <v>2000</v>
      </c>
      <c r="AH79" s="86">
        <f>IF(AND($H79&lt;='Sales, COGS, Sales Team'!AH$13,$I79&gt;='Sales, COGS, Sales Team'!AH$13),$G79,0)</f>
        <v>2000</v>
      </c>
      <c r="AI79" s="86">
        <f>IF(AND($H79&lt;='Sales, COGS, Sales Team'!AI$13,$I79&gt;='Sales, COGS, Sales Team'!AI$13),$G79,0)</f>
        <v>2000</v>
      </c>
      <c r="AJ79" s="86">
        <f>IF(AND($H79&lt;='Sales, COGS, Sales Team'!AJ$13,$I79&gt;='Sales, COGS, Sales Team'!AJ$13),$G79*(1+$G$90),0)</f>
        <v>4500</v>
      </c>
      <c r="AK79" s="86">
        <f>IF(AND($H79&lt;='Sales, COGS, Sales Team'!AK$13,$I79&gt;='Sales, COGS, Sales Team'!AK$13),$G79*(1+$G$90),0)</f>
        <v>4500</v>
      </c>
      <c r="AL79" s="86">
        <f>IF(AND($H79&lt;='Sales, COGS, Sales Team'!AL$13,$I79&gt;='Sales, COGS, Sales Team'!AL$13),$G79*(1+$G$90),0)</f>
        <v>4500</v>
      </c>
      <c r="AM79" s="86">
        <f>IF(AND($H79&lt;='Sales, COGS, Sales Team'!AM$13,$I79&gt;='Sales, COGS, Sales Team'!AM$13),$G79*(1+$G$90),0)</f>
        <v>4500</v>
      </c>
      <c r="AN79" s="86">
        <f>IF(AND($H79&lt;='Sales, COGS, Sales Team'!AN$13,$I79&gt;='Sales, COGS, Sales Team'!AN$13),$G79*(1+$G$90),0)</f>
        <v>4500</v>
      </c>
      <c r="AO79" s="86">
        <f>IF(AND($H79&lt;='Sales, COGS, Sales Team'!AO$13,$I79&gt;='Sales, COGS, Sales Team'!AO$13),$G79*(1+$G$90),0)</f>
        <v>4500</v>
      </c>
      <c r="AP79" s="86">
        <f>IF(AND($H79&lt;='Sales, COGS, Sales Team'!AP$13,$I79&gt;='Sales, COGS, Sales Team'!AP$13),$G79*(1+$G$90),0)</f>
        <v>4500</v>
      </c>
      <c r="AQ79" s="86">
        <f>IF(AND($H79&lt;='Sales, COGS, Sales Team'!AQ$13,$I79&gt;='Sales, COGS, Sales Team'!AQ$13),$G79*(1+$G$90),0)</f>
        <v>4500</v>
      </c>
      <c r="AR79" s="86">
        <f>IF(AND($H79&lt;='Sales, COGS, Sales Team'!AR$13,$I79&gt;='Sales, COGS, Sales Team'!AR$13),$G79*(1+$G$90),0)</f>
        <v>4500</v>
      </c>
      <c r="AS79" s="86">
        <f>IF(AND($H79&lt;='Sales, COGS, Sales Team'!AS$13,$I79&gt;='Sales, COGS, Sales Team'!AS$13),$G79*(1+$G$90),0)</f>
        <v>4500</v>
      </c>
      <c r="AT79" s="86">
        <f>IF(AND($H79&lt;='Sales, COGS, Sales Team'!AT$13,$I79&gt;='Sales, COGS, Sales Team'!AT$13),$G79*(1+$G$90),0)</f>
        <v>4500</v>
      </c>
      <c r="AU79" s="86">
        <f>IF(AND($H79&lt;='Sales, COGS, Sales Team'!AU$13,$I79&gt;='Sales, COGS, Sales Team'!AU$13),$G79*(1+$G$90),0)</f>
        <v>4500</v>
      </c>
      <c r="AV79" s="82"/>
      <c r="AW79" s="86">
        <f t="shared" ref="AW79:BD79" si="108">SUMIFS($L79:$AU79,$L$11:$AU$11,"&gt;"&amp;AV$11,$L$11:$AU$11,"&lt;="&amp;AW$11)</f>
        <v>6000</v>
      </c>
      <c r="AX79" s="86">
        <f t="shared" si="108"/>
        <v>6000</v>
      </c>
      <c r="AY79" s="86">
        <f t="shared" si="108"/>
        <v>6000</v>
      </c>
      <c r="AZ79" s="86">
        <f t="shared" si="108"/>
        <v>6000</v>
      </c>
      <c r="BA79" s="86">
        <f t="shared" si="108"/>
        <v>13500</v>
      </c>
      <c r="BB79" s="86">
        <f t="shared" si="108"/>
        <v>13500</v>
      </c>
      <c r="BC79" s="86">
        <f t="shared" si="108"/>
        <v>13500</v>
      </c>
      <c r="BD79" s="86">
        <f t="shared" si="108"/>
        <v>13500</v>
      </c>
      <c r="BE79" s="82"/>
      <c r="BF79" s="24">
        <f t="shared" ref="BF79:BG79" si="109">SUMIFS($AW79:$BD79,$AW$11:$BD$11,"&gt;"&amp;BE$11,$AW$11:$BD$11,"&lt;="&amp;BF$11)</f>
        <v>24000</v>
      </c>
      <c r="BG79" s="24">
        <f t="shared" si="109"/>
        <v>54000</v>
      </c>
      <c r="BH79" s="86"/>
      <c r="BI79" s="86"/>
      <c r="BJ79" s="86"/>
      <c r="BK79" s="82"/>
    </row>
    <row r="80" spans="2:63" hidden="1" outlineLevel="1" x14ac:dyDescent="0.2">
      <c r="B80" s="82"/>
      <c r="C80" s="81" t="s">
        <v>17</v>
      </c>
      <c r="D80" s="82"/>
      <c r="E80" s="82"/>
      <c r="F80" s="88">
        <v>8000</v>
      </c>
      <c r="G80" s="83">
        <f>F80/12</f>
        <v>666.66666666666663</v>
      </c>
      <c r="H80" s="89">
        <v>45199</v>
      </c>
      <c r="I80" s="89">
        <v>45504</v>
      </c>
      <c r="J80" s="89"/>
      <c r="K80" s="82"/>
      <c r="L80" s="86">
        <f>IF(AND($H80&lt;='Sales, COGS, Sales Team'!L$13,$I80&gt;='Sales, COGS, Sales Team'!L$13),$G80,0)</f>
        <v>0</v>
      </c>
      <c r="M80" s="86">
        <f>IF(AND($H80&lt;='Sales, COGS, Sales Team'!M$13,$I80&gt;='Sales, COGS, Sales Team'!M$13),$G80,0)</f>
        <v>0</v>
      </c>
      <c r="N80" s="86">
        <f>IF(AND($H80&lt;='Sales, COGS, Sales Team'!N$13,$I80&gt;='Sales, COGS, Sales Team'!N$13),$G80,0)</f>
        <v>0</v>
      </c>
      <c r="O80" s="86">
        <f>IF(AND($H80&lt;='Sales, COGS, Sales Team'!O$13,$I80&gt;='Sales, COGS, Sales Team'!O$13),$G80,0)</f>
        <v>0</v>
      </c>
      <c r="P80" s="86">
        <f>IF(AND($H80&lt;='Sales, COGS, Sales Team'!P$13,$I80&gt;='Sales, COGS, Sales Team'!P$13),$G80,0)</f>
        <v>0</v>
      </c>
      <c r="Q80" s="86">
        <f>IF(AND($H80&lt;='Sales, COGS, Sales Team'!Q$13,$I80&gt;='Sales, COGS, Sales Team'!Q$13),$G80,0)</f>
        <v>0</v>
      </c>
      <c r="R80" s="86">
        <f>IF(AND($H80&lt;='Sales, COGS, Sales Team'!R$13,$I80&gt;='Sales, COGS, Sales Team'!R$13),$G80,0)</f>
        <v>0</v>
      </c>
      <c r="S80" s="86">
        <f>IF(AND($H80&lt;='Sales, COGS, Sales Team'!S$13,$I80&gt;='Sales, COGS, Sales Team'!S$13),$G80,0)</f>
        <v>0</v>
      </c>
      <c r="T80" s="86">
        <f>IF(AND($H80&lt;='Sales, COGS, Sales Team'!T$13,$I80&gt;='Sales, COGS, Sales Team'!T$13),$G80,0)</f>
        <v>666.66666666666663</v>
      </c>
      <c r="U80" s="86">
        <f>IF(AND($H80&lt;='Sales, COGS, Sales Team'!U$13,$I80&gt;='Sales, COGS, Sales Team'!U$13),$G80,0)</f>
        <v>666.66666666666663</v>
      </c>
      <c r="V80" s="86">
        <f>IF(AND($H80&lt;='Sales, COGS, Sales Team'!V$13,$I80&gt;='Sales, COGS, Sales Team'!V$13),$G80,0)</f>
        <v>666.66666666666663</v>
      </c>
      <c r="W80" s="86">
        <f>IF(AND($H80&lt;='Sales, COGS, Sales Team'!W$13,$I80&gt;='Sales, COGS, Sales Team'!W$13),$G80,0)</f>
        <v>666.66666666666663</v>
      </c>
      <c r="X80" s="86">
        <f>IF(AND($H80&lt;='Sales, COGS, Sales Team'!X$13,$I80&gt;='Sales, COGS, Sales Team'!X$13),$G80,0)</f>
        <v>666.66666666666663</v>
      </c>
      <c r="Y80" s="86">
        <f>IF(AND($H80&lt;='Sales, COGS, Sales Team'!Y$13,$I80&gt;='Sales, COGS, Sales Team'!Y$13),$G80,0)</f>
        <v>666.66666666666663</v>
      </c>
      <c r="Z80" s="86">
        <f>IF(AND($H80&lt;='Sales, COGS, Sales Team'!Z$13,$I80&gt;='Sales, COGS, Sales Team'!Z$13),$G80,0)</f>
        <v>666.66666666666663</v>
      </c>
      <c r="AA80" s="86">
        <f>IF(AND($H80&lt;='Sales, COGS, Sales Team'!AA$13,$I80&gt;='Sales, COGS, Sales Team'!AA$13),$G80,0)</f>
        <v>666.66666666666663</v>
      </c>
      <c r="AB80" s="86">
        <f>IF(AND($H80&lt;='Sales, COGS, Sales Team'!AB$13,$I80&gt;='Sales, COGS, Sales Team'!AB$13),$G80,0)</f>
        <v>666.66666666666663</v>
      </c>
      <c r="AC80" s="86">
        <f>IF(AND($H80&lt;='Sales, COGS, Sales Team'!AC$13,$I80&gt;='Sales, COGS, Sales Team'!AC$13),$G80,0)</f>
        <v>666.66666666666663</v>
      </c>
      <c r="AD80" s="86">
        <f>IF(AND($H80&lt;='Sales, COGS, Sales Team'!AD$13,$I80&gt;='Sales, COGS, Sales Team'!AD$13),$G80,0)</f>
        <v>666.66666666666663</v>
      </c>
      <c r="AE80" s="86">
        <f>IF(AND($H80&lt;='Sales, COGS, Sales Team'!AE$13,$I80&gt;='Sales, COGS, Sales Team'!AE$13),$G80,0)</f>
        <v>0</v>
      </c>
      <c r="AF80" s="86">
        <f>IF(AND($H80&lt;='Sales, COGS, Sales Team'!AF$13,$I80&gt;='Sales, COGS, Sales Team'!AF$13),$G80,0)</f>
        <v>0</v>
      </c>
      <c r="AG80" s="86">
        <f>IF(AND($H80&lt;='Sales, COGS, Sales Team'!AG$13,$I80&gt;='Sales, COGS, Sales Team'!AG$13),$G80,0)</f>
        <v>0</v>
      </c>
      <c r="AH80" s="86">
        <f>IF(AND($H80&lt;='Sales, COGS, Sales Team'!AH$13,$I80&gt;='Sales, COGS, Sales Team'!AH$13),$G80,0)</f>
        <v>0</v>
      </c>
      <c r="AI80" s="86">
        <f>IF(AND($H80&lt;='Sales, COGS, Sales Team'!AI$13,$I80&gt;='Sales, COGS, Sales Team'!AI$13),$G80,0)</f>
        <v>0</v>
      </c>
      <c r="AJ80" s="86">
        <f>IF(AND($H80&lt;='Sales, COGS, Sales Team'!AJ$13,$I80&gt;='Sales, COGS, Sales Team'!AJ$13),$G80*(1+$G$90),0)</f>
        <v>0</v>
      </c>
      <c r="AK80" s="86">
        <f>IF(AND($H80&lt;='Sales, COGS, Sales Team'!AK$13,$I80&gt;='Sales, COGS, Sales Team'!AK$13),$G80*(1+$G$90),0)</f>
        <v>0</v>
      </c>
      <c r="AL80" s="86">
        <f>IF(AND($H80&lt;='Sales, COGS, Sales Team'!AL$13,$I80&gt;='Sales, COGS, Sales Team'!AL$13),$G80*(1+$G$90),0)</f>
        <v>0</v>
      </c>
      <c r="AM80" s="86">
        <f>IF(AND($H80&lt;='Sales, COGS, Sales Team'!AM$13,$I80&gt;='Sales, COGS, Sales Team'!AM$13),$G80*(1+$G$90),0)</f>
        <v>0</v>
      </c>
      <c r="AN80" s="86">
        <f>IF(AND($H80&lt;='Sales, COGS, Sales Team'!AN$13,$I80&gt;='Sales, COGS, Sales Team'!AN$13),$G80*(1+$G$90),0)</f>
        <v>0</v>
      </c>
      <c r="AO80" s="86">
        <f>IF(AND($H80&lt;='Sales, COGS, Sales Team'!AO$13,$I80&gt;='Sales, COGS, Sales Team'!AO$13),$G80*(1+$G$90),0)</f>
        <v>0</v>
      </c>
      <c r="AP80" s="86">
        <f>IF(AND($H80&lt;='Sales, COGS, Sales Team'!AP$13,$I80&gt;='Sales, COGS, Sales Team'!AP$13),$G80*(1+$G$90),0)</f>
        <v>0</v>
      </c>
      <c r="AQ80" s="86">
        <f>IF(AND($H80&lt;='Sales, COGS, Sales Team'!AQ$13,$I80&gt;='Sales, COGS, Sales Team'!AQ$13),$G80*(1+$G$90),0)</f>
        <v>0</v>
      </c>
      <c r="AR80" s="86">
        <f>IF(AND($H80&lt;='Sales, COGS, Sales Team'!AR$13,$I80&gt;='Sales, COGS, Sales Team'!AR$13),$G80*(1+$G$90),0)</f>
        <v>0</v>
      </c>
      <c r="AS80" s="86">
        <f>IF(AND($H80&lt;='Sales, COGS, Sales Team'!AS$13,$I80&gt;='Sales, COGS, Sales Team'!AS$13),$G80*(1+$G$90),0)</f>
        <v>0</v>
      </c>
      <c r="AT80" s="86">
        <f>IF(AND($H80&lt;='Sales, COGS, Sales Team'!AT$13,$I80&gt;='Sales, COGS, Sales Team'!AT$13),$G80*(1+$G$90),0)</f>
        <v>0</v>
      </c>
      <c r="AU80" s="86">
        <f>IF(AND($H80&lt;='Sales, COGS, Sales Team'!AU$13,$I80&gt;='Sales, COGS, Sales Team'!AU$13),$G80*(1+$G$90),0)</f>
        <v>0</v>
      </c>
      <c r="AV80" s="82"/>
      <c r="AW80" s="86">
        <f t="shared" ref="AW80:BD80" si="110">SUMIFS($L80:$AU80,$L$11:$AU$11,"&gt;"&amp;AV$11,$L$11:$AU$11,"&lt;="&amp;AW$11)</f>
        <v>2000</v>
      </c>
      <c r="AX80" s="86">
        <f t="shared" si="110"/>
        <v>2000</v>
      </c>
      <c r="AY80" s="86">
        <f t="shared" si="110"/>
        <v>666.66666666666663</v>
      </c>
      <c r="AZ80" s="86">
        <f t="shared" si="110"/>
        <v>0</v>
      </c>
      <c r="BA80" s="86">
        <f t="shared" si="110"/>
        <v>0</v>
      </c>
      <c r="BB80" s="86">
        <f t="shared" si="110"/>
        <v>0</v>
      </c>
      <c r="BC80" s="86">
        <f t="shared" si="110"/>
        <v>0</v>
      </c>
      <c r="BD80" s="86">
        <f t="shared" si="110"/>
        <v>0</v>
      </c>
      <c r="BE80" s="82"/>
      <c r="BF80" s="24">
        <f t="shared" ref="BF80:BG80" si="111">SUMIFS($AW80:$BD80,$AW$11:$BD$11,"&gt;"&amp;BE$11,$AW$11:$BD$11,"&lt;="&amp;BF$11)</f>
        <v>4666.666666666667</v>
      </c>
      <c r="BG80" s="24">
        <f t="shared" si="111"/>
        <v>0</v>
      </c>
      <c r="BH80" s="86"/>
      <c r="BI80" s="86"/>
      <c r="BJ80" s="86"/>
      <c r="BK80" s="82"/>
    </row>
    <row r="81" spans="2:63" hidden="1" outlineLevel="1" x14ac:dyDescent="0.2">
      <c r="B81" s="82"/>
      <c r="C81" s="81" t="s">
        <v>18</v>
      </c>
      <c r="D81" s="82"/>
      <c r="E81" s="82"/>
      <c r="F81" s="83">
        <f>G81*12</f>
        <v>120000</v>
      </c>
      <c r="G81" s="88">
        <v>10000</v>
      </c>
      <c r="H81" s="89">
        <v>45292</v>
      </c>
      <c r="I81" s="89">
        <v>46022</v>
      </c>
      <c r="J81" s="85"/>
      <c r="K81" s="82"/>
      <c r="L81" s="86">
        <f>IF($H81&lt;='Sales, COGS, Sales Team'!L$13,$G81,0)</f>
        <v>0</v>
      </c>
      <c r="M81" s="86">
        <f>IF($H81&lt;='Sales, COGS, Sales Team'!M$13,$G81,0)</f>
        <v>0</v>
      </c>
      <c r="N81" s="86">
        <f>IF($H81&lt;='Sales, COGS, Sales Team'!N$13,$G81,0)</f>
        <v>0</v>
      </c>
      <c r="O81" s="86">
        <f>IF($H81&lt;='Sales, COGS, Sales Team'!O$13,$G81,0)</f>
        <v>0</v>
      </c>
      <c r="P81" s="86">
        <f>IF($H81&lt;='Sales, COGS, Sales Team'!P$13,$G81,0)</f>
        <v>0</v>
      </c>
      <c r="Q81" s="86">
        <f>IF($H81&lt;='Sales, COGS, Sales Team'!Q$13,$G81,0)</f>
        <v>0</v>
      </c>
      <c r="R81" s="86">
        <f>IF($H81&lt;='Sales, COGS, Sales Team'!R$13,$G81,0)</f>
        <v>0</v>
      </c>
      <c r="S81" s="86">
        <f>IF($H81&lt;='Sales, COGS, Sales Team'!S$13,$G81,0)</f>
        <v>0</v>
      </c>
      <c r="T81" s="86">
        <f>IF($H81&lt;='Sales, COGS, Sales Team'!T$13,$G81,0)</f>
        <v>0</v>
      </c>
      <c r="U81" s="86">
        <f>IF($H81&lt;='Sales, COGS, Sales Team'!U$13,$G81,0)</f>
        <v>0</v>
      </c>
      <c r="V81" s="86">
        <f>IF($H81&lt;='Sales, COGS, Sales Team'!V$13,$G81,0)</f>
        <v>0</v>
      </c>
      <c r="W81" s="86">
        <f>IF($H81&lt;='Sales, COGS, Sales Team'!W$13,$G81,0)</f>
        <v>0</v>
      </c>
      <c r="X81" s="86">
        <f>IF($H81&lt;='Sales, COGS, Sales Team'!X$13,$G81,0)</f>
        <v>10000</v>
      </c>
      <c r="Y81" s="86">
        <f>IF($H81&lt;='Sales, COGS, Sales Team'!Y$13,$G81,0)</f>
        <v>10000</v>
      </c>
      <c r="Z81" s="86">
        <f>IF($H81&lt;='Sales, COGS, Sales Team'!Z$13,$G81,0)</f>
        <v>10000</v>
      </c>
      <c r="AA81" s="86">
        <f>IF($H81&lt;='Sales, COGS, Sales Team'!AA$13,$G81,0)</f>
        <v>10000</v>
      </c>
      <c r="AB81" s="86">
        <f>IF($H81&lt;='Sales, COGS, Sales Team'!AB$13,$G81,0)</f>
        <v>10000</v>
      </c>
      <c r="AC81" s="86">
        <f>IF($H81&lt;='Sales, COGS, Sales Team'!AC$13,$G81,0)</f>
        <v>10000</v>
      </c>
      <c r="AD81" s="86">
        <f>IF($H81&lt;='Sales, COGS, Sales Team'!AD$13,$G81,0)</f>
        <v>10000</v>
      </c>
      <c r="AE81" s="86">
        <f>IF($H81&lt;='Sales, COGS, Sales Team'!AE$13,$G81,0)</f>
        <v>10000</v>
      </c>
      <c r="AF81" s="86">
        <f>IF($H81&lt;='Sales, COGS, Sales Team'!AF$13,$G81,0)</f>
        <v>10000</v>
      </c>
      <c r="AG81" s="86">
        <f>IF($H81&lt;='Sales, COGS, Sales Team'!AG$13,$G81,0)</f>
        <v>10000</v>
      </c>
      <c r="AH81" s="86">
        <f>IF($H81&lt;='Sales, COGS, Sales Team'!AH$13,$G81,0)</f>
        <v>10000</v>
      </c>
      <c r="AI81" s="86">
        <f>IF($H81&lt;='Sales, COGS, Sales Team'!AI$13,$G81,0)</f>
        <v>10000</v>
      </c>
      <c r="AJ81" s="86">
        <f>IF(AND($H81&lt;='Sales, COGS, Sales Team'!AJ$13,$I81&gt;='Sales, COGS, Sales Team'!AJ$13),$G81*(1+$G$90),0)</f>
        <v>22500</v>
      </c>
      <c r="AK81" s="86">
        <f>IF(AND($H81&lt;='Sales, COGS, Sales Team'!AK$13,$I81&gt;='Sales, COGS, Sales Team'!AK$13),$G81*(1+$G$90),0)</f>
        <v>22500</v>
      </c>
      <c r="AL81" s="86">
        <f>IF(AND($H81&lt;='Sales, COGS, Sales Team'!AL$13,$I81&gt;='Sales, COGS, Sales Team'!AL$13),$G81*(1+$G$90),0)</f>
        <v>22500</v>
      </c>
      <c r="AM81" s="86">
        <f>IF(AND($H81&lt;='Sales, COGS, Sales Team'!AM$13,$I81&gt;='Sales, COGS, Sales Team'!AM$13),$G81*(1+$G$90),0)</f>
        <v>22500</v>
      </c>
      <c r="AN81" s="86">
        <f>IF(AND($H81&lt;='Sales, COGS, Sales Team'!AN$13,$I81&gt;='Sales, COGS, Sales Team'!AN$13),$G81*(1+$G$90),0)</f>
        <v>22500</v>
      </c>
      <c r="AO81" s="86">
        <f>IF(AND($H81&lt;='Sales, COGS, Sales Team'!AO$13,$I81&gt;='Sales, COGS, Sales Team'!AO$13),$G81*(1+$G$90),0)</f>
        <v>22500</v>
      </c>
      <c r="AP81" s="86">
        <f>IF(AND($H81&lt;='Sales, COGS, Sales Team'!AP$13,$I81&gt;='Sales, COGS, Sales Team'!AP$13),$G81*(1+$G$90),0)</f>
        <v>22500</v>
      </c>
      <c r="AQ81" s="86">
        <f>IF(AND($H81&lt;='Sales, COGS, Sales Team'!AQ$13,$I81&gt;='Sales, COGS, Sales Team'!AQ$13),$G81*(1+$G$90),0)</f>
        <v>22500</v>
      </c>
      <c r="AR81" s="86">
        <f>IF(AND($H81&lt;='Sales, COGS, Sales Team'!AR$13,$I81&gt;='Sales, COGS, Sales Team'!AR$13),$G81*(1+$G$90),0)</f>
        <v>22500</v>
      </c>
      <c r="AS81" s="86">
        <f>IF(AND($H81&lt;='Sales, COGS, Sales Team'!AS$13,$I81&gt;='Sales, COGS, Sales Team'!AS$13),$G81*(1+$G$90),0)</f>
        <v>22500</v>
      </c>
      <c r="AT81" s="86">
        <f>IF(AND($H81&lt;='Sales, COGS, Sales Team'!AT$13,$I81&gt;='Sales, COGS, Sales Team'!AT$13),$G81*(1+$G$90),0)</f>
        <v>22500</v>
      </c>
      <c r="AU81" s="86">
        <f>IF(AND($H81&lt;='Sales, COGS, Sales Team'!AU$13,$I81&gt;='Sales, COGS, Sales Team'!AU$13),$G81*(1+$G$90),0)</f>
        <v>22500</v>
      </c>
      <c r="AV81" s="82"/>
      <c r="AW81" s="86">
        <f t="shared" ref="AW81:BD81" si="112">SUMIFS($L81:$AU81,$L$11:$AU$11,"&gt;"&amp;AV$11,$L$11:$AU$11,"&lt;="&amp;AW$11)</f>
        <v>30000</v>
      </c>
      <c r="AX81" s="86">
        <f t="shared" si="112"/>
        <v>30000</v>
      </c>
      <c r="AY81" s="86">
        <f t="shared" si="112"/>
        <v>30000</v>
      </c>
      <c r="AZ81" s="86">
        <f t="shared" si="112"/>
        <v>30000</v>
      </c>
      <c r="BA81" s="86">
        <f t="shared" si="112"/>
        <v>67500</v>
      </c>
      <c r="BB81" s="86">
        <f t="shared" si="112"/>
        <v>67500</v>
      </c>
      <c r="BC81" s="86">
        <f t="shared" si="112"/>
        <v>67500</v>
      </c>
      <c r="BD81" s="86">
        <f t="shared" si="112"/>
        <v>67500</v>
      </c>
      <c r="BE81" s="82"/>
      <c r="BF81" s="24">
        <f t="shared" ref="BF81:BG81" si="113">SUMIFS($AW81:$BD81,$AW$11:$BD$11,"&gt;"&amp;BE$11,$AW$11:$BD$11,"&lt;="&amp;BF$11)</f>
        <v>120000</v>
      </c>
      <c r="BG81" s="24">
        <f t="shared" si="113"/>
        <v>270000</v>
      </c>
      <c r="BH81" s="86"/>
      <c r="BI81" s="86"/>
      <c r="BJ81" s="86"/>
      <c r="BK81" s="82"/>
    </row>
    <row r="82" spans="2:63" hidden="1" outlineLevel="1" x14ac:dyDescent="0.2">
      <c r="B82" s="82"/>
      <c r="C82" s="81" t="s">
        <v>24</v>
      </c>
      <c r="D82" s="82"/>
      <c r="E82" s="82"/>
      <c r="F82" s="88">
        <v>2592.5925925925926</v>
      </c>
      <c r="G82" s="83">
        <f t="shared" ref="G82:G88" si="114">F82/12</f>
        <v>216.04938271604939</v>
      </c>
      <c r="H82" s="89">
        <v>45199</v>
      </c>
      <c r="I82" s="89">
        <v>46022</v>
      </c>
      <c r="J82" s="89"/>
      <c r="K82" s="82"/>
      <c r="L82" s="86">
        <f>IF(AND($H82&lt;='Sales, COGS, Sales Team'!L$13,$I82&gt;='Sales, COGS, Sales Team'!L$13),$G82,0)</f>
        <v>0</v>
      </c>
      <c r="M82" s="86">
        <f>IF(AND($H82&lt;='Sales, COGS, Sales Team'!M$13,$I82&gt;='Sales, COGS, Sales Team'!M$13),$G82,0)</f>
        <v>0</v>
      </c>
      <c r="N82" s="86">
        <f>IF(AND($H82&lt;='Sales, COGS, Sales Team'!N$13,$I82&gt;='Sales, COGS, Sales Team'!N$13),$G82,0)</f>
        <v>0</v>
      </c>
      <c r="O82" s="86">
        <f>IF(AND($H82&lt;='Sales, COGS, Sales Team'!O$13,$I82&gt;='Sales, COGS, Sales Team'!O$13),$G82,0)</f>
        <v>0</v>
      </c>
      <c r="P82" s="86">
        <f>IF(AND($H82&lt;='Sales, COGS, Sales Team'!P$13,$I82&gt;='Sales, COGS, Sales Team'!P$13),$G82,0)</f>
        <v>0</v>
      </c>
      <c r="Q82" s="86">
        <f>IF(AND($H82&lt;='Sales, COGS, Sales Team'!Q$13,$I82&gt;='Sales, COGS, Sales Team'!Q$13),$G82,0)</f>
        <v>0</v>
      </c>
      <c r="R82" s="86">
        <f>IF(AND($H82&lt;='Sales, COGS, Sales Team'!R$13,$I82&gt;='Sales, COGS, Sales Team'!R$13),$G82,0)</f>
        <v>0</v>
      </c>
      <c r="S82" s="86">
        <f>IF(AND($H82&lt;='Sales, COGS, Sales Team'!S$13,$I82&gt;='Sales, COGS, Sales Team'!S$13),$G82,0)</f>
        <v>0</v>
      </c>
      <c r="T82" s="86">
        <f>IF(AND($H82&lt;='Sales, COGS, Sales Team'!T$13,$I82&gt;='Sales, COGS, Sales Team'!T$13),$G82,0)</f>
        <v>216.04938271604939</v>
      </c>
      <c r="U82" s="86">
        <f>IF(AND($H82&lt;='Sales, COGS, Sales Team'!U$13,$I82&gt;='Sales, COGS, Sales Team'!U$13),$G82,0)</f>
        <v>216.04938271604939</v>
      </c>
      <c r="V82" s="86">
        <f>IF(AND($H82&lt;='Sales, COGS, Sales Team'!V$13,$I82&gt;='Sales, COGS, Sales Team'!V$13),$G82,0)</f>
        <v>216.04938271604939</v>
      </c>
      <c r="W82" s="86">
        <f>IF(AND($H82&lt;='Sales, COGS, Sales Team'!W$13,$I82&gt;='Sales, COGS, Sales Team'!W$13),$G82,0)</f>
        <v>216.04938271604939</v>
      </c>
      <c r="X82" s="86">
        <f>IF(AND($H82&lt;='Sales, COGS, Sales Team'!X$13,$I82&gt;='Sales, COGS, Sales Team'!X$13),$G82,0)</f>
        <v>216.04938271604939</v>
      </c>
      <c r="Y82" s="86">
        <f>IF(AND($H82&lt;='Sales, COGS, Sales Team'!Y$13,$I82&gt;='Sales, COGS, Sales Team'!Y$13),$G82,0)</f>
        <v>216.04938271604939</v>
      </c>
      <c r="Z82" s="86">
        <f>IF(AND($H82&lt;='Sales, COGS, Sales Team'!Z$13,$I82&gt;='Sales, COGS, Sales Team'!Z$13),$G82,0)</f>
        <v>216.04938271604939</v>
      </c>
      <c r="AA82" s="86">
        <f>IF(AND($H82&lt;='Sales, COGS, Sales Team'!AA$13,$I82&gt;='Sales, COGS, Sales Team'!AA$13),$G82,0)</f>
        <v>216.04938271604939</v>
      </c>
      <c r="AB82" s="86">
        <f>IF(AND($H82&lt;='Sales, COGS, Sales Team'!AB$13,$I82&gt;='Sales, COGS, Sales Team'!AB$13),$G82,0)</f>
        <v>216.04938271604939</v>
      </c>
      <c r="AC82" s="86">
        <f>IF(AND($H82&lt;='Sales, COGS, Sales Team'!AC$13,$I82&gt;='Sales, COGS, Sales Team'!AC$13),$G82,0)</f>
        <v>216.04938271604939</v>
      </c>
      <c r="AD82" s="86">
        <f>IF(AND($H82&lt;='Sales, COGS, Sales Team'!AD$13,$I82&gt;='Sales, COGS, Sales Team'!AD$13),$G82,0)</f>
        <v>216.04938271604939</v>
      </c>
      <c r="AE82" s="86">
        <f>IF(AND($H82&lt;='Sales, COGS, Sales Team'!AE$13,$I82&gt;='Sales, COGS, Sales Team'!AE$13),$G82,0)</f>
        <v>216.04938271604939</v>
      </c>
      <c r="AF82" s="86">
        <f>IF(AND($H82&lt;='Sales, COGS, Sales Team'!AF$13,$I82&gt;='Sales, COGS, Sales Team'!AF$13),$G82,0)</f>
        <v>216.04938271604939</v>
      </c>
      <c r="AG82" s="86">
        <f>IF(AND($H82&lt;='Sales, COGS, Sales Team'!AG$13,$I82&gt;='Sales, COGS, Sales Team'!AG$13),$G82,0)</f>
        <v>216.04938271604939</v>
      </c>
      <c r="AH82" s="86">
        <f>IF(AND($H82&lt;='Sales, COGS, Sales Team'!AH$13,$I82&gt;='Sales, COGS, Sales Team'!AH$13),$G82,0)</f>
        <v>216.04938271604939</v>
      </c>
      <c r="AI82" s="86">
        <f>IF(AND($H82&lt;='Sales, COGS, Sales Team'!AI$13,$I82&gt;='Sales, COGS, Sales Team'!AI$13),$G82,0)</f>
        <v>216.04938271604939</v>
      </c>
      <c r="AJ82" s="86">
        <f>IF(AND($H82&lt;='Sales, COGS, Sales Team'!AJ$13,$I82&gt;='Sales, COGS, Sales Team'!AJ$13),$G82*(1+$G$90),0)</f>
        <v>486.11111111111114</v>
      </c>
      <c r="AK82" s="86">
        <f>IF(AND($H82&lt;='Sales, COGS, Sales Team'!AK$13,$I82&gt;='Sales, COGS, Sales Team'!AK$13),$G82*(1+$G$90),0)</f>
        <v>486.11111111111114</v>
      </c>
      <c r="AL82" s="86">
        <f>IF(AND($H82&lt;='Sales, COGS, Sales Team'!AL$13,$I82&gt;='Sales, COGS, Sales Team'!AL$13),$G82*(1+$G$90),0)</f>
        <v>486.11111111111114</v>
      </c>
      <c r="AM82" s="86">
        <f>IF(AND($H82&lt;='Sales, COGS, Sales Team'!AM$13,$I82&gt;='Sales, COGS, Sales Team'!AM$13),$G82*(1+$G$90),0)</f>
        <v>486.11111111111114</v>
      </c>
      <c r="AN82" s="86">
        <f>IF(AND($H82&lt;='Sales, COGS, Sales Team'!AN$13,$I82&gt;='Sales, COGS, Sales Team'!AN$13),$G82*(1+$G$90),0)</f>
        <v>486.11111111111114</v>
      </c>
      <c r="AO82" s="86">
        <f>IF(AND($H82&lt;='Sales, COGS, Sales Team'!AO$13,$I82&gt;='Sales, COGS, Sales Team'!AO$13),$G82*(1+$G$90),0)</f>
        <v>486.11111111111114</v>
      </c>
      <c r="AP82" s="86">
        <f>IF(AND($H82&lt;='Sales, COGS, Sales Team'!AP$13,$I82&gt;='Sales, COGS, Sales Team'!AP$13),$G82*(1+$G$90),0)</f>
        <v>486.11111111111114</v>
      </c>
      <c r="AQ82" s="86">
        <f>IF(AND($H82&lt;='Sales, COGS, Sales Team'!AQ$13,$I82&gt;='Sales, COGS, Sales Team'!AQ$13),$G82*(1+$G$90),0)</f>
        <v>486.11111111111114</v>
      </c>
      <c r="AR82" s="86">
        <f>IF(AND($H82&lt;='Sales, COGS, Sales Team'!AR$13,$I82&gt;='Sales, COGS, Sales Team'!AR$13),$G82*(1+$G$90),0)</f>
        <v>486.11111111111114</v>
      </c>
      <c r="AS82" s="86">
        <f>IF(AND($H82&lt;='Sales, COGS, Sales Team'!AS$13,$I82&gt;='Sales, COGS, Sales Team'!AS$13),$G82*(1+$G$90),0)</f>
        <v>486.11111111111114</v>
      </c>
      <c r="AT82" s="86">
        <f>IF(AND($H82&lt;='Sales, COGS, Sales Team'!AT$13,$I82&gt;='Sales, COGS, Sales Team'!AT$13),$G82*(1+$G$90),0)</f>
        <v>486.11111111111114</v>
      </c>
      <c r="AU82" s="86">
        <f>IF(AND($H82&lt;='Sales, COGS, Sales Team'!AU$13,$I82&gt;='Sales, COGS, Sales Team'!AU$13),$G82*(1+$G$90),0)</f>
        <v>486.11111111111114</v>
      </c>
      <c r="AV82" s="82"/>
      <c r="AW82" s="86">
        <f t="shared" ref="AW82:BD82" si="115">SUMIFS($L82:$AU82,$L$11:$AU$11,"&gt;"&amp;AV$11,$L$11:$AU$11,"&lt;="&amp;AW$11)</f>
        <v>648.14814814814815</v>
      </c>
      <c r="AX82" s="86">
        <f t="shared" si="115"/>
        <v>648.14814814814815</v>
      </c>
      <c r="AY82" s="86">
        <f t="shared" si="115"/>
        <v>648.14814814814815</v>
      </c>
      <c r="AZ82" s="86">
        <f t="shared" si="115"/>
        <v>648.14814814814815</v>
      </c>
      <c r="BA82" s="86">
        <f t="shared" si="115"/>
        <v>1458.3333333333335</v>
      </c>
      <c r="BB82" s="86">
        <f t="shared" si="115"/>
        <v>1458.3333333333335</v>
      </c>
      <c r="BC82" s="86">
        <f t="shared" si="115"/>
        <v>1458.3333333333335</v>
      </c>
      <c r="BD82" s="86">
        <f t="shared" si="115"/>
        <v>1458.3333333333335</v>
      </c>
      <c r="BE82" s="82"/>
      <c r="BF82" s="24">
        <f t="shared" ref="BF82:BG82" si="116">SUMIFS($AW82:$BD82,$AW$11:$BD$11,"&gt;"&amp;BE$11,$AW$11:$BD$11,"&lt;="&amp;BF$11)</f>
        <v>2592.5925925925926</v>
      </c>
      <c r="BG82" s="24">
        <f t="shared" si="116"/>
        <v>5833.3333333333339</v>
      </c>
      <c r="BH82" s="86"/>
      <c r="BI82" s="86"/>
      <c r="BJ82" s="86"/>
      <c r="BK82" s="82"/>
    </row>
    <row r="83" spans="2:63" hidden="1" outlineLevel="1" x14ac:dyDescent="0.2">
      <c r="B83" s="82"/>
      <c r="C83" s="81" t="s">
        <v>5</v>
      </c>
      <c r="D83" s="82"/>
      <c r="E83" s="82"/>
      <c r="F83" s="88">
        <v>75000</v>
      </c>
      <c r="G83" s="83">
        <f t="shared" si="114"/>
        <v>6250</v>
      </c>
      <c r="H83" s="89">
        <v>45199</v>
      </c>
      <c r="I83" s="89">
        <v>46022</v>
      </c>
      <c r="J83" s="89"/>
      <c r="K83" s="82"/>
      <c r="L83" s="86">
        <f>IF(AND($H83&lt;='Sales, COGS, Sales Team'!L$13,$I83&gt;='Sales, COGS, Sales Team'!L$13),$G83,0)</f>
        <v>0</v>
      </c>
      <c r="M83" s="86">
        <f>IF(AND($H83&lt;='Sales, COGS, Sales Team'!M$13,$I83&gt;='Sales, COGS, Sales Team'!M$13),$G83,0)</f>
        <v>0</v>
      </c>
      <c r="N83" s="86">
        <f>IF(AND($H83&lt;='Sales, COGS, Sales Team'!N$13,$I83&gt;='Sales, COGS, Sales Team'!N$13),$G83,0)</f>
        <v>0</v>
      </c>
      <c r="O83" s="86">
        <f>IF(AND($H83&lt;='Sales, COGS, Sales Team'!O$13,$I83&gt;='Sales, COGS, Sales Team'!O$13),$G83,0)</f>
        <v>0</v>
      </c>
      <c r="P83" s="86">
        <f>IF(AND($H83&lt;='Sales, COGS, Sales Team'!P$13,$I83&gt;='Sales, COGS, Sales Team'!P$13),$G83,0)</f>
        <v>0</v>
      </c>
      <c r="Q83" s="86">
        <f>IF(AND($H83&lt;='Sales, COGS, Sales Team'!Q$13,$I83&gt;='Sales, COGS, Sales Team'!Q$13),$G83,0)</f>
        <v>0</v>
      </c>
      <c r="R83" s="86">
        <f>IF(AND($H83&lt;='Sales, COGS, Sales Team'!R$13,$I83&gt;='Sales, COGS, Sales Team'!R$13),$G83,0)</f>
        <v>0</v>
      </c>
      <c r="S83" s="86">
        <f>IF(AND($H83&lt;='Sales, COGS, Sales Team'!S$13,$I83&gt;='Sales, COGS, Sales Team'!S$13),$G83,0)</f>
        <v>0</v>
      </c>
      <c r="T83" s="86">
        <f>IF(AND($H83&lt;='Sales, COGS, Sales Team'!T$13,$I83&gt;='Sales, COGS, Sales Team'!T$13),$G83,0)</f>
        <v>6250</v>
      </c>
      <c r="U83" s="86">
        <f>IF(AND($H83&lt;='Sales, COGS, Sales Team'!U$13,$I83&gt;='Sales, COGS, Sales Team'!U$13),$G83,0)</f>
        <v>6250</v>
      </c>
      <c r="V83" s="86">
        <f>IF(AND($H83&lt;='Sales, COGS, Sales Team'!V$13,$I83&gt;='Sales, COGS, Sales Team'!V$13),$G83,0)</f>
        <v>6250</v>
      </c>
      <c r="W83" s="86">
        <f>IF(AND($H83&lt;='Sales, COGS, Sales Team'!W$13,$I83&gt;='Sales, COGS, Sales Team'!W$13),$G83,0)</f>
        <v>6250</v>
      </c>
      <c r="X83" s="86">
        <f>IF(AND($H83&lt;='Sales, COGS, Sales Team'!X$13,$I83&gt;='Sales, COGS, Sales Team'!X$13),$G83,0)</f>
        <v>6250</v>
      </c>
      <c r="Y83" s="86">
        <f>IF(AND($H83&lt;='Sales, COGS, Sales Team'!Y$13,$I83&gt;='Sales, COGS, Sales Team'!Y$13),$G83,0)</f>
        <v>6250</v>
      </c>
      <c r="Z83" s="86">
        <f>IF(AND($H83&lt;='Sales, COGS, Sales Team'!Z$13,$I83&gt;='Sales, COGS, Sales Team'!Z$13),$G83,0)</f>
        <v>6250</v>
      </c>
      <c r="AA83" s="86">
        <f>IF(AND($H83&lt;='Sales, COGS, Sales Team'!AA$13,$I83&gt;='Sales, COGS, Sales Team'!AA$13),$G83,0)</f>
        <v>6250</v>
      </c>
      <c r="AB83" s="86">
        <f>IF(AND($H83&lt;='Sales, COGS, Sales Team'!AB$13,$I83&gt;='Sales, COGS, Sales Team'!AB$13),$G83,0)</f>
        <v>6250</v>
      </c>
      <c r="AC83" s="86">
        <f>IF(AND($H83&lt;='Sales, COGS, Sales Team'!AC$13,$I83&gt;='Sales, COGS, Sales Team'!AC$13),$G83,0)</f>
        <v>6250</v>
      </c>
      <c r="AD83" s="86">
        <f>IF(AND($H83&lt;='Sales, COGS, Sales Team'!AD$13,$I83&gt;='Sales, COGS, Sales Team'!AD$13),$G83,0)</f>
        <v>6250</v>
      </c>
      <c r="AE83" s="86">
        <f>IF(AND($H83&lt;='Sales, COGS, Sales Team'!AE$13,$I83&gt;='Sales, COGS, Sales Team'!AE$13),$G83,0)</f>
        <v>6250</v>
      </c>
      <c r="AF83" s="86">
        <f>IF(AND($H83&lt;='Sales, COGS, Sales Team'!AF$13,$I83&gt;='Sales, COGS, Sales Team'!AF$13),$G83,0)</f>
        <v>6250</v>
      </c>
      <c r="AG83" s="86">
        <f>IF(AND($H83&lt;='Sales, COGS, Sales Team'!AG$13,$I83&gt;='Sales, COGS, Sales Team'!AG$13),$G83,0)</f>
        <v>6250</v>
      </c>
      <c r="AH83" s="86">
        <f>IF(AND($H83&lt;='Sales, COGS, Sales Team'!AH$13,$I83&gt;='Sales, COGS, Sales Team'!AH$13),$G83,0)</f>
        <v>6250</v>
      </c>
      <c r="AI83" s="86">
        <f>IF(AND($H83&lt;='Sales, COGS, Sales Team'!AI$13,$I83&gt;='Sales, COGS, Sales Team'!AI$13),$G83,0)</f>
        <v>6250</v>
      </c>
      <c r="AJ83" s="86">
        <f>IF(AND($H83&lt;='Sales, COGS, Sales Team'!AJ$13,$I83&gt;='Sales, COGS, Sales Team'!AJ$13),$G83*(1+$G$90),0)</f>
        <v>14062.5</v>
      </c>
      <c r="AK83" s="86">
        <f>IF(AND($H83&lt;='Sales, COGS, Sales Team'!AK$13,$I83&gt;='Sales, COGS, Sales Team'!AK$13),$G83*(1+$G$90),0)</f>
        <v>14062.5</v>
      </c>
      <c r="AL83" s="86">
        <f>IF(AND($H83&lt;='Sales, COGS, Sales Team'!AL$13,$I83&gt;='Sales, COGS, Sales Team'!AL$13),$G83*(1+$G$90),0)</f>
        <v>14062.5</v>
      </c>
      <c r="AM83" s="86">
        <f>IF(AND($H83&lt;='Sales, COGS, Sales Team'!AM$13,$I83&gt;='Sales, COGS, Sales Team'!AM$13),$G83*(1+$G$90),0)</f>
        <v>14062.5</v>
      </c>
      <c r="AN83" s="86">
        <f>IF(AND($H83&lt;='Sales, COGS, Sales Team'!AN$13,$I83&gt;='Sales, COGS, Sales Team'!AN$13),$G83*(1+$G$90),0)</f>
        <v>14062.5</v>
      </c>
      <c r="AO83" s="86">
        <f>IF(AND($H83&lt;='Sales, COGS, Sales Team'!AO$13,$I83&gt;='Sales, COGS, Sales Team'!AO$13),$G83*(1+$G$90),0)</f>
        <v>14062.5</v>
      </c>
      <c r="AP83" s="86">
        <f>IF(AND($H83&lt;='Sales, COGS, Sales Team'!AP$13,$I83&gt;='Sales, COGS, Sales Team'!AP$13),$G83*(1+$G$90),0)</f>
        <v>14062.5</v>
      </c>
      <c r="AQ83" s="86">
        <f>IF(AND($H83&lt;='Sales, COGS, Sales Team'!AQ$13,$I83&gt;='Sales, COGS, Sales Team'!AQ$13),$G83*(1+$G$90),0)</f>
        <v>14062.5</v>
      </c>
      <c r="AR83" s="86">
        <f>IF(AND($H83&lt;='Sales, COGS, Sales Team'!AR$13,$I83&gt;='Sales, COGS, Sales Team'!AR$13),$G83*(1+$G$90),0)</f>
        <v>14062.5</v>
      </c>
      <c r="AS83" s="86">
        <f>IF(AND($H83&lt;='Sales, COGS, Sales Team'!AS$13,$I83&gt;='Sales, COGS, Sales Team'!AS$13),$G83*(1+$G$90),0)</f>
        <v>14062.5</v>
      </c>
      <c r="AT83" s="86">
        <f>IF(AND($H83&lt;='Sales, COGS, Sales Team'!AT$13,$I83&gt;='Sales, COGS, Sales Team'!AT$13),$G83*(1+$G$90),0)</f>
        <v>14062.5</v>
      </c>
      <c r="AU83" s="86">
        <f>IF(AND($H83&lt;='Sales, COGS, Sales Team'!AU$13,$I83&gt;='Sales, COGS, Sales Team'!AU$13),$G83*(1+$G$90),0)</f>
        <v>14062.5</v>
      </c>
      <c r="AV83" s="82"/>
      <c r="AW83" s="86">
        <f t="shared" ref="AW83:BD83" si="117">SUMIFS($L83:$AU83,$L$11:$AU$11,"&gt;"&amp;AV$11,$L$11:$AU$11,"&lt;="&amp;AW$11)</f>
        <v>18750</v>
      </c>
      <c r="AX83" s="86">
        <f t="shared" si="117"/>
        <v>18750</v>
      </c>
      <c r="AY83" s="86">
        <f t="shared" si="117"/>
        <v>18750</v>
      </c>
      <c r="AZ83" s="86">
        <f t="shared" si="117"/>
        <v>18750</v>
      </c>
      <c r="BA83" s="86">
        <f t="shared" si="117"/>
        <v>42187.5</v>
      </c>
      <c r="BB83" s="86">
        <f t="shared" si="117"/>
        <v>42187.5</v>
      </c>
      <c r="BC83" s="86">
        <f t="shared" si="117"/>
        <v>42187.5</v>
      </c>
      <c r="BD83" s="86">
        <f t="shared" si="117"/>
        <v>42187.5</v>
      </c>
      <c r="BE83" s="82"/>
      <c r="BF83" s="24">
        <f t="shared" ref="BF83:BG83" si="118">SUMIFS($AW83:$BD83,$AW$11:$BD$11,"&gt;"&amp;BE$11,$AW$11:$BD$11,"&lt;="&amp;BF$11)</f>
        <v>75000</v>
      </c>
      <c r="BG83" s="24">
        <f t="shared" si="118"/>
        <v>168750</v>
      </c>
      <c r="BH83" s="86"/>
      <c r="BI83" s="86"/>
      <c r="BJ83" s="86"/>
      <c r="BK83" s="82"/>
    </row>
    <row r="84" spans="2:63" hidden="1" outlineLevel="1" x14ac:dyDescent="0.2">
      <c r="B84" s="82"/>
      <c r="C84" s="81" t="s">
        <v>9</v>
      </c>
      <c r="D84" s="82"/>
      <c r="E84" s="82"/>
      <c r="F84" s="88">
        <v>60000</v>
      </c>
      <c r="G84" s="83">
        <f t="shared" si="114"/>
        <v>5000</v>
      </c>
      <c r="H84" s="89">
        <v>45199</v>
      </c>
      <c r="I84" s="89">
        <v>46022</v>
      </c>
      <c r="J84" s="89"/>
      <c r="K84" s="82"/>
      <c r="L84" s="86">
        <f>IF(AND($H84&lt;='Sales, COGS, Sales Team'!L$13,$I84&gt;='Sales, COGS, Sales Team'!L$13),$G84,0)</f>
        <v>0</v>
      </c>
      <c r="M84" s="86">
        <f>IF(AND($H84&lt;='Sales, COGS, Sales Team'!M$13,$I84&gt;='Sales, COGS, Sales Team'!M$13),$G84,0)</f>
        <v>0</v>
      </c>
      <c r="N84" s="86">
        <f>IF(AND($H84&lt;='Sales, COGS, Sales Team'!N$13,$I84&gt;='Sales, COGS, Sales Team'!N$13),$G84,0)</f>
        <v>0</v>
      </c>
      <c r="O84" s="86">
        <f>IF(AND($H84&lt;='Sales, COGS, Sales Team'!O$13,$I84&gt;='Sales, COGS, Sales Team'!O$13),$G84,0)</f>
        <v>0</v>
      </c>
      <c r="P84" s="86">
        <f>IF(AND($H84&lt;='Sales, COGS, Sales Team'!P$13,$I84&gt;='Sales, COGS, Sales Team'!P$13),$G84,0)</f>
        <v>0</v>
      </c>
      <c r="Q84" s="86">
        <f>IF(AND($H84&lt;='Sales, COGS, Sales Team'!Q$13,$I84&gt;='Sales, COGS, Sales Team'!Q$13),$G84,0)</f>
        <v>0</v>
      </c>
      <c r="R84" s="86">
        <f>IF(AND($H84&lt;='Sales, COGS, Sales Team'!R$13,$I84&gt;='Sales, COGS, Sales Team'!R$13),$G84,0)</f>
        <v>0</v>
      </c>
      <c r="S84" s="86">
        <f>IF(AND($H84&lt;='Sales, COGS, Sales Team'!S$13,$I84&gt;='Sales, COGS, Sales Team'!S$13),$G84,0)</f>
        <v>0</v>
      </c>
      <c r="T84" s="86">
        <f>IF(AND($H84&lt;='Sales, COGS, Sales Team'!T$13,$I84&gt;='Sales, COGS, Sales Team'!T$13),$G84,0)</f>
        <v>5000</v>
      </c>
      <c r="U84" s="86">
        <f>IF(AND($H84&lt;='Sales, COGS, Sales Team'!U$13,$I84&gt;='Sales, COGS, Sales Team'!U$13),$G84,0)</f>
        <v>5000</v>
      </c>
      <c r="V84" s="86">
        <f>IF(AND($H84&lt;='Sales, COGS, Sales Team'!V$13,$I84&gt;='Sales, COGS, Sales Team'!V$13),$G84,0)</f>
        <v>5000</v>
      </c>
      <c r="W84" s="86">
        <f>IF(AND($H84&lt;='Sales, COGS, Sales Team'!W$13,$I84&gt;='Sales, COGS, Sales Team'!W$13),$G84,0)</f>
        <v>5000</v>
      </c>
      <c r="X84" s="86">
        <f>IF(AND($H84&lt;='Sales, COGS, Sales Team'!X$13,$I84&gt;='Sales, COGS, Sales Team'!X$13),$G84,0)</f>
        <v>5000</v>
      </c>
      <c r="Y84" s="86">
        <f>IF(AND($H84&lt;='Sales, COGS, Sales Team'!Y$13,$I84&gt;='Sales, COGS, Sales Team'!Y$13),$G84,0)</f>
        <v>5000</v>
      </c>
      <c r="Z84" s="86">
        <f>IF(AND($H84&lt;='Sales, COGS, Sales Team'!Z$13,$I84&gt;='Sales, COGS, Sales Team'!Z$13),$G84,0)</f>
        <v>5000</v>
      </c>
      <c r="AA84" s="86">
        <f>IF(AND($H84&lt;='Sales, COGS, Sales Team'!AA$13,$I84&gt;='Sales, COGS, Sales Team'!AA$13),$G84,0)</f>
        <v>5000</v>
      </c>
      <c r="AB84" s="86">
        <f>IF(AND($H84&lt;='Sales, COGS, Sales Team'!AB$13,$I84&gt;='Sales, COGS, Sales Team'!AB$13),$G84,0)</f>
        <v>5000</v>
      </c>
      <c r="AC84" s="86">
        <f>IF(AND($H84&lt;='Sales, COGS, Sales Team'!AC$13,$I84&gt;='Sales, COGS, Sales Team'!AC$13),$G84,0)</f>
        <v>5000</v>
      </c>
      <c r="AD84" s="86">
        <f>IF(AND($H84&lt;='Sales, COGS, Sales Team'!AD$13,$I84&gt;='Sales, COGS, Sales Team'!AD$13),$G84,0)</f>
        <v>5000</v>
      </c>
      <c r="AE84" s="86">
        <f>IF(AND($H84&lt;='Sales, COGS, Sales Team'!AE$13,$I84&gt;='Sales, COGS, Sales Team'!AE$13),$G84,0)</f>
        <v>5000</v>
      </c>
      <c r="AF84" s="86">
        <f>IF(AND($H84&lt;='Sales, COGS, Sales Team'!AF$13,$I84&gt;='Sales, COGS, Sales Team'!AF$13),$G84,0)</f>
        <v>5000</v>
      </c>
      <c r="AG84" s="86">
        <f>IF(AND($H84&lt;='Sales, COGS, Sales Team'!AG$13,$I84&gt;='Sales, COGS, Sales Team'!AG$13),$G84,0)</f>
        <v>5000</v>
      </c>
      <c r="AH84" s="86">
        <f>IF(AND($H84&lt;='Sales, COGS, Sales Team'!AH$13,$I84&gt;='Sales, COGS, Sales Team'!AH$13),$G84,0)</f>
        <v>5000</v>
      </c>
      <c r="AI84" s="86">
        <f>IF(AND($H84&lt;='Sales, COGS, Sales Team'!AI$13,$I84&gt;='Sales, COGS, Sales Team'!AI$13),$G84,0)</f>
        <v>5000</v>
      </c>
      <c r="AJ84" s="86">
        <f>IF(AND($H84&lt;='Sales, COGS, Sales Team'!AJ$13,$I84&gt;='Sales, COGS, Sales Team'!AJ$13),$G84*(1+$G$90),0)</f>
        <v>11250</v>
      </c>
      <c r="AK84" s="86">
        <f>IF(AND($H84&lt;='Sales, COGS, Sales Team'!AK$13,$I84&gt;='Sales, COGS, Sales Team'!AK$13),$G84*(1+$G$90),0)</f>
        <v>11250</v>
      </c>
      <c r="AL84" s="86">
        <f>IF(AND($H84&lt;='Sales, COGS, Sales Team'!AL$13,$I84&gt;='Sales, COGS, Sales Team'!AL$13),$G84*(1+$G$90),0)</f>
        <v>11250</v>
      </c>
      <c r="AM84" s="86">
        <f>IF(AND($H84&lt;='Sales, COGS, Sales Team'!AM$13,$I84&gt;='Sales, COGS, Sales Team'!AM$13),$G84*(1+$G$90),0)</f>
        <v>11250</v>
      </c>
      <c r="AN84" s="86">
        <f>IF(AND($H84&lt;='Sales, COGS, Sales Team'!AN$13,$I84&gt;='Sales, COGS, Sales Team'!AN$13),$G84*(1+$G$90),0)</f>
        <v>11250</v>
      </c>
      <c r="AO84" s="86">
        <f>IF(AND($H84&lt;='Sales, COGS, Sales Team'!AO$13,$I84&gt;='Sales, COGS, Sales Team'!AO$13),$G84*(1+$G$90),0)</f>
        <v>11250</v>
      </c>
      <c r="AP84" s="86">
        <f>IF(AND($H84&lt;='Sales, COGS, Sales Team'!AP$13,$I84&gt;='Sales, COGS, Sales Team'!AP$13),$G84*(1+$G$90),0)</f>
        <v>11250</v>
      </c>
      <c r="AQ84" s="86">
        <f>IF(AND($H84&lt;='Sales, COGS, Sales Team'!AQ$13,$I84&gt;='Sales, COGS, Sales Team'!AQ$13),$G84*(1+$G$90),0)</f>
        <v>11250</v>
      </c>
      <c r="AR84" s="86">
        <f>IF(AND($H84&lt;='Sales, COGS, Sales Team'!AR$13,$I84&gt;='Sales, COGS, Sales Team'!AR$13),$G84*(1+$G$90),0)</f>
        <v>11250</v>
      </c>
      <c r="AS84" s="86">
        <f>IF(AND($H84&lt;='Sales, COGS, Sales Team'!AS$13,$I84&gt;='Sales, COGS, Sales Team'!AS$13),$G84*(1+$G$90),0)</f>
        <v>11250</v>
      </c>
      <c r="AT84" s="86">
        <f>IF(AND($H84&lt;='Sales, COGS, Sales Team'!AT$13,$I84&gt;='Sales, COGS, Sales Team'!AT$13),$G84*(1+$G$90),0)</f>
        <v>11250</v>
      </c>
      <c r="AU84" s="86">
        <f>IF(AND($H84&lt;='Sales, COGS, Sales Team'!AU$13,$I84&gt;='Sales, COGS, Sales Team'!AU$13),$G84*(1+$G$90),0)</f>
        <v>11250</v>
      </c>
      <c r="AV84" s="82"/>
      <c r="AW84" s="86">
        <f t="shared" ref="AW84:BD84" si="119">SUMIFS($L84:$AU84,$L$11:$AU$11,"&gt;"&amp;AV$11,$L$11:$AU$11,"&lt;="&amp;AW$11)</f>
        <v>15000</v>
      </c>
      <c r="AX84" s="86">
        <f t="shared" si="119"/>
        <v>15000</v>
      </c>
      <c r="AY84" s="86">
        <f t="shared" si="119"/>
        <v>15000</v>
      </c>
      <c r="AZ84" s="86">
        <f t="shared" si="119"/>
        <v>15000</v>
      </c>
      <c r="BA84" s="86">
        <f t="shared" si="119"/>
        <v>33750</v>
      </c>
      <c r="BB84" s="86">
        <f t="shared" si="119"/>
        <v>33750</v>
      </c>
      <c r="BC84" s="86">
        <f t="shared" si="119"/>
        <v>33750</v>
      </c>
      <c r="BD84" s="86">
        <f t="shared" si="119"/>
        <v>33750</v>
      </c>
      <c r="BE84" s="82"/>
      <c r="BF84" s="24">
        <f t="shared" ref="BF84:BG84" si="120">SUMIFS($AW84:$BD84,$AW$11:$BD$11,"&gt;"&amp;BE$11,$AW$11:$BD$11,"&lt;="&amp;BF$11)</f>
        <v>60000</v>
      </c>
      <c r="BG84" s="24">
        <f t="shared" si="120"/>
        <v>135000</v>
      </c>
      <c r="BH84" s="86"/>
      <c r="BI84" s="86"/>
      <c r="BJ84" s="86"/>
      <c r="BK84" s="82"/>
    </row>
    <row r="85" spans="2:63" hidden="1" outlineLevel="1" x14ac:dyDescent="0.2">
      <c r="B85" s="82"/>
      <c r="C85" s="81" t="s">
        <v>19</v>
      </c>
      <c r="D85" s="82"/>
      <c r="E85" s="82"/>
      <c r="F85" s="88">
        <v>3000</v>
      </c>
      <c r="G85" s="83">
        <f t="shared" si="114"/>
        <v>250</v>
      </c>
      <c r="H85" s="89">
        <v>45199</v>
      </c>
      <c r="I85" s="89">
        <v>46022</v>
      </c>
      <c r="J85" s="89"/>
      <c r="K85" s="82"/>
      <c r="L85" s="86">
        <f>IF(AND($H85&lt;='Sales, COGS, Sales Team'!L$13,$I85&gt;='Sales, COGS, Sales Team'!L$13),$G85,0)</f>
        <v>0</v>
      </c>
      <c r="M85" s="86">
        <f>IF(AND($H85&lt;='Sales, COGS, Sales Team'!M$13,$I85&gt;='Sales, COGS, Sales Team'!M$13),$G85,0)</f>
        <v>0</v>
      </c>
      <c r="N85" s="86">
        <f>IF(AND($H85&lt;='Sales, COGS, Sales Team'!N$13,$I85&gt;='Sales, COGS, Sales Team'!N$13),$G85,0)</f>
        <v>0</v>
      </c>
      <c r="O85" s="86">
        <f>IF(AND($H85&lt;='Sales, COGS, Sales Team'!O$13,$I85&gt;='Sales, COGS, Sales Team'!O$13),$G85,0)</f>
        <v>0</v>
      </c>
      <c r="P85" s="86">
        <f>IF(AND($H85&lt;='Sales, COGS, Sales Team'!P$13,$I85&gt;='Sales, COGS, Sales Team'!P$13),$G85,0)</f>
        <v>0</v>
      </c>
      <c r="Q85" s="86">
        <f>IF(AND($H85&lt;='Sales, COGS, Sales Team'!Q$13,$I85&gt;='Sales, COGS, Sales Team'!Q$13),$G85,0)</f>
        <v>0</v>
      </c>
      <c r="R85" s="86">
        <f>IF(AND($H85&lt;='Sales, COGS, Sales Team'!R$13,$I85&gt;='Sales, COGS, Sales Team'!R$13),$G85,0)</f>
        <v>0</v>
      </c>
      <c r="S85" s="86">
        <f>IF(AND($H85&lt;='Sales, COGS, Sales Team'!S$13,$I85&gt;='Sales, COGS, Sales Team'!S$13),$G85,0)</f>
        <v>0</v>
      </c>
      <c r="T85" s="86">
        <f>IF(AND($H85&lt;='Sales, COGS, Sales Team'!T$13,$I85&gt;='Sales, COGS, Sales Team'!T$13),$G85,0)</f>
        <v>250</v>
      </c>
      <c r="U85" s="86">
        <f>IF(AND($H85&lt;='Sales, COGS, Sales Team'!U$13,$I85&gt;='Sales, COGS, Sales Team'!U$13),$G85,0)</f>
        <v>250</v>
      </c>
      <c r="V85" s="86">
        <f>IF(AND($H85&lt;='Sales, COGS, Sales Team'!V$13,$I85&gt;='Sales, COGS, Sales Team'!V$13),$G85,0)</f>
        <v>250</v>
      </c>
      <c r="W85" s="86">
        <f>IF(AND($H85&lt;='Sales, COGS, Sales Team'!W$13,$I85&gt;='Sales, COGS, Sales Team'!W$13),$G85,0)</f>
        <v>250</v>
      </c>
      <c r="X85" s="86">
        <f>IF(AND($H85&lt;='Sales, COGS, Sales Team'!X$13,$I85&gt;='Sales, COGS, Sales Team'!X$13),$G85,0)</f>
        <v>250</v>
      </c>
      <c r="Y85" s="86">
        <f>IF(AND($H85&lt;='Sales, COGS, Sales Team'!Y$13,$I85&gt;='Sales, COGS, Sales Team'!Y$13),$G85,0)</f>
        <v>250</v>
      </c>
      <c r="Z85" s="86">
        <f>IF(AND($H85&lt;='Sales, COGS, Sales Team'!Z$13,$I85&gt;='Sales, COGS, Sales Team'!Z$13),$G85,0)</f>
        <v>250</v>
      </c>
      <c r="AA85" s="86">
        <f>IF(AND($H85&lt;='Sales, COGS, Sales Team'!AA$13,$I85&gt;='Sales, COGS, Sales Team'!AA$13),$G85,0)</f>
        <v>250</v>
      </c>
      <c r="AB85" s="86">
        <f>IF(AND($H85&lt;='Sales, COGS, Sales Team'!AB$13,$I85&gt;='Sales, COGS, Sales Team'!AB$13),$G85,0)</f>
        <v>250</v>
      </c>
      <c r="AC85" s="86">
        <f>IF(AND($H85&lt;='Sales, COGS, Sales Team'!AC$13,$I85&gt;='Sales, COGS, Sales Team'!AC$13),$G85,0)</f>
        <v>250</v>
      </c>
      <c r="AD85" s="86">
        <f>IF(AND($H85&lt;='Sales, COGS, Sales Team'!AD$13,$I85&gt;='Sales, COGS, Sales Team'!AD$13),$G85,0)</f>
        <v>250</v>
      </c>
      <c r="AE85" s="86">
        <f>IF(AND($H85&lt;='Sales, COGS, Sales Team'!AE$13,$I85&gt;='Sales, COGS, Sales Team'!AE$13),$G85,0)</f>
        <v>250</v>
      </c>
      <c r="AF85" s="86">
        <f>IF(AND($H85&lt;='Sales, COGS, Sales Team'!AF$13,$I85&gt;='Sales, COGS, Sales Team'!AF$13),$G85,0)</f>
        <v>250</v>
      </c>
      <c r="AG85" s="86">
        <f>IF(AND($H85&lt;='Sales, COGS, Sales Team'!AG$13,$I85&gt;='Sales, COGS, Sales Team'!AG$13),$G85,0)</f>
        <v>250</v>
      </c>
      <c r="AH85" s="86">
        <f>IF(AND($H85&lt;='Sales, COGS, Sales Team'!AH$13,$I85&gt;='Sales, COGS, Sales Team'!AH$13),$G85,0)</f>
        <v>250</v>
      </c>
      <c r="AI85" s="86">
        <f>IF(AND($H85&lt;='Sales, COGS, Sales Team'!AI$13,$I85&gt;='Sales, COGS, Sales Team'!AI$13),$G85,0)</f>
        <v>250</v>
      </c>
      <c r="AJ85" s="86">
        <f>IF(AND($H85&lt;='Sales, COGS, Sales Team'!AJ$13,$I85&gt;='Sales, COGS, Sales Team'!AJ$13),$G85*(1+$G$90),0)</f>
        <v>562.5</v>
      </c>
      <c r="AK85" s="86">
        <f>IF(AND($H85&lt;='Sales, COGS, Sales Team'!AK$13,$I85&gt;='Sales, COGS, Sales Team'!AK$13),$G85*(1+$G$90),0)</f>
        <v>562.5</v>
      </c>
      <c r="AL85" s="86">
        <f>IF(AND($H85&lt;='Sales, COGS, Sales Team'!AL$13,$I85&gt;='Sales, COGS, Sales Team'!AL$13),$G85*(1+$G$90),0)</f>
        <v>562.5</v>
      </c>
      <c r="AM85" s="86">
        <f>IF(AND($H85&lt;='Sales, COGS, Sales Team'!AM$13,$I85&gt;='Sales, COGS, Sales Team'!AM$13),$G85*(1+$G$90),0)</f>
        <v>562.5</v>
      </c>
      <c r="AN85" s="86">
        <f>IF(AND($H85&lt;='Sales, COGS, Sales Team'!AN$13,$I85&gt;='Sales, COGS, Sales Team'!AN$13),$G85*(1+$G$90),0)</f>
        <v>562.5</v>
      </c>
      <c r="AO85" s="86">
        <f>IF(AND($H85&lt;='Sales, COGS, Sales Team'!AO$13,$I85&gt;='Sales, COGS, Sales Team'!AO$13),$G85*(1+$G$90),0)</f>
        <v>562.5</v>
      </c>
      <c r="AP85" s="86">
        <f>IF(AND($H85&lt;='Sales, COGS, Sales Team'!AP$13,$I85&gt;='Sales, COGS, Sales Team'!AP$13),$G85*(1+$G$90),0)</f>
        <v>562.5</v>
      </c>
      <c r="AQ85" s="86">
        <f>IF(AND($H85&lt;='Sales, COGS, Sales Team'!AQ$13,$I85&gt;='Sales, COGS, Sales Team'!AQ$13),$G85*(1+$G$90),0)</f>
        <v>562.5</v>
      </c>
      <c r="AR85" s="86">
        <f>IF(AND($H85&lt;='Sales, COGS, Sales Team'!AR$13,$I85&gt;='Sales, COGS, Sales Team'!AR$13),$G85*(1+$G$90),0)</f>
        <v>562.5</v>
      </c>
      <c r="AS85" s="86">
        <f>IF(AND($H85&lt;='Sales, COGS, Sales Team'!AS$13,$I85&gt;='Sales, COGS, Sales Team'!AS$13),$G85*(1+$G$90),0)</f>
        <v>562.5</v>
      </c>
      <c r="AT85" s="86">
        <f>IF(AND($H85&lt;='Sales, COGS, Sales Team'!AT$13,$I85&gt;='Sales, COGS, Sales Team'!AT$13),$G85*(1+$G$90),0)</f>
        <v>562.5</v>
      </c>
      <c r="AU85" s="86">
        <f>IF(AND($H85&lt;='Sales, COGS, Sales Team'!AU$13,$I85&gt;='Sales, COGS, Sales Team'!AU$13),$G85*(1+$G$90),0)</f>
        <v>562.5</v>
      </c>
      <c r="AV85" s="82"/>
      <c r="AW85" s="86">
        <f t="shared" ref="AW85:BD85" si="121">SUMIFS($L85:$AU85,$L$11:$AU$11,"&gt;"&amp;AV$11,$L$11:$AU$11,"&lt;="&amp;AW$11)</f>
        <v>750</v>
      </c>
      <c r="AX85" s="86">
        <f t="shared" si="121"/>
        <v>750</v>
      </c>
      <c r="AY85" s="86">
        <f t="shared" si="121"/>
        <v>750</v>
      </c>
      <c r="AZ85" s="86">
        <f t="shared" si="121"/>
        <v>750</v>
      </c>
      <c r="BA85" s="86">
        <f t="shared" si="121"/>
        <v>1687.5</v>
      </c>
      <c r="BB85" s="86">
        <f t="shared" si="121"/>
        <v>1687.5</v>
      </c>
      <c r="BC85" s="86">
        <f t="shared" si="121"/>
        <v>1687.5</v>
      </c>
      <c r="BD85" s="86">
        <f t="shared" si="121"/>
        <v>1687.5</v>
      </c>
      <c r="BE85" s="82"/>
      <c r="BF85" s="24">
        <f t="shared" ref="BF85:BG85" si="122">SUMIFS($AW85:$BD85,$AW$11:$BD$11,"&gt;"&amp;BE$11,$AW$11:$BD$11,"&lt;="&amp;BF$11)</f>
        <v>3000</v>
      </c>
      <c r="BG85" s="24">
        <f t="shared" si="122"/>
        <v>6750</v>
      </c>
      <c r="BH85" s="86"/>
      <c r="BI85" s="86"/>
      <c r="BJ85" s="86"/>
      <c r="BK85" s="82"/>
    </row>
    <row r="86" spans="2:63" hidden="1" outlineLevel="1" x14ac:dyDescent="0.2">
      <c r="B86" s="82"/>
      <c r="C86" s="81" t="s">
        <v>20</v>
      </c>
      <c r="D86" s="82"/>
      <c r="E86" s="82"/>
      <c r="F86" s="88">
        <v>8700</v>
      </c>
      <c r="G86" s="83">
        <f t="shared" si="114"/>
        <v>725</v>
      </c>
      <c r="H86" s="89">
        <v>45199</v>
      </c>
      <c r="I86" s="89">
        <v>46022</v>
      </c>
      <c r="J86" s="89"/>
      <c r="K86" s="82"/>
      <c r="L86" s="86">
        <f>IF(AND($H86&lt;='Sales, COGS, Sales Team'!L$13,$I86&gt;='Sales, COGS, Sales Team'!L$13),$G86,0)</f>
        <v>0</v>
      </c>
      <c r="M86" s="86">
        <f>IF(AND($H86&lt;='Sales, COGS, Sales Team'!M$13,$I86&gt;='Sales, COGS, Sales Team'!M$13),$G86,0)</f>
        <v>0</v>
      </c>
      <c r="N86" s="86">
        <f>IF(AND($H86&lt;='Sales, COGS, Sales Team'!N$13,$I86&gt;='Sales, COGS, Sales Team'!N$13),$G86,0)</f>
        <v>0</v>
      </c>
      <c r="O86" s="86">
        <f>IF(AND($H86&lt;='Sales, COGS, Sales Team'!O$13,$I86&gt;='Sales, COGS, Sales Team'!O$13),$G86,0)</f>
        <v>0</v>
      </c>
      <c r="P86" s="86">
        <f>IF(AND($H86&lt;='Sales, COGS, Sales Team'!P$13,$I86&gt;='Sales, COGS, Sales Team'!P$13),$G86,0)</f>
        <v>0</v>
      </c>
      <c r="Q86" s="86">
        <f>IF(AND($H86&lt;='Sales, COGS, Sales Team'!Q$13,$I86&gt;='Sales, COGS, Sales Team'!Q$13),$G86,0)</f>
        <v>0</v>
      </c>
      <c r="R86" s="86">
        <f>IF(AND($H86&lt;='Sales, COGS, Sales Team'!R$13,$I86&gt;='Sales, COGS, Sales Team'!R$13),$G86,0)</f>
        <v>0</v>
      </c>
      <c r="S86" s="86">
        <f>IF(AND($H86&lt;='Sales, COGS, Sales Team'!S$13,$I86&gt;='Sales, COGS, Sales Team'!S$13),$G86,0)</f>
        <v>0</v>
      </c>
      <c r="T86" s="86">
        <f>IF(AND($H86&lt;='Sales, COGS, Sales Team'!T$13,$I86&gt;='Sales, COGS, Sales Team'!T$13),$G86,0)</f>
        <v>725</v>
      </c>
      <c r="U86" s="86">
        <f>IF(AND($H86&lt;='Sales, COGS, Sales Team'!U$13,$I86&gt;='Sales, COGS, Sales Team'!U$13),$G86,0)</f>
        <v>725</v>
      </c>
      <c r="V86" s="86">
        <f>IF(AND($H86&lt;='Sales, COGS, Sales Team'!V$13,$I86&gt;='Sales, COGS, Sales Team'!V$13),$G86,0)</f>
        <v>725</v>
      </c>
      <c r="W86" s="86">
        <f>IF(AND($H86&lt;='Sales, COGS, Sales Team'!W$13,$I86&gt;='Sales, COGS, Sales Team'!W$13),$G86,0)</f>
        <v>725</v>
      </c>
      <c r="X86" s="86">
        <f>IF(AND($H86&lt;='Sales, COGS, Sales Team'!X$13,$I86&gt;='Sales, COGS, Sales Team'!X$13),$G86,0)</f>
        <v>725</v>
      </c>
      <c r="Y86" s="86">
        <f>IF(AND($H86&lt;='Sales, COGS, Sales Team'!Y$13,$I86&gt;='Sales, COGS, Sales Team'!Y$13),$G86,0)</f>
        <v>725</v>
      </c>
      <c r="Z86" s="86">
        <f>IF(AND($H86&lt;='Sales, COGS, Sales Team'!Z$13,$I86&gt;='Sales, COGS, Sales Team'!Z$13),$G86,0)</f>
        <v>725</v>
      </c>
      <c r="AA86" s="86">
        <f>IF(AND($H86&lt;='Sales, COGS, Sales Team'!AA$13,$I86&gt;='Sales, COGS, Sales Team'!AA$13),$G86,0)</f>
        <v>725</v>
      </c>
      <c r="AB86" s="86">
        <f>IF(AND($H86&lt;='Sales, COGS, Sales Team'!AB$13,$I86&gt;='Sales, COGS, Sales Team'!AB$13),$G86,0)</f>
        <v>725</v>
      </c>
      <c r="AC86" s="86">
        <f>IF(AND($H86&lt;='Sales, COGS, Sales Team'!AC$13,$I86&gt;='Sales, COGS, Sales Team'!AC$13),$G86,0)</f>
        <v>725</v>
      </c>
      <c r="AD86" s="86">
        <f>IF(AND($H86&lt;='Sales, COGS, Sales Team'!AD$13,$I86&gt;='Sales, COGS, Sales Team'!AD$13),$G86,0)</f>
        <v>725</v>
      </c>
      <c r="AE86" s="86">
        <f>IF(AND($H86&lt;='Sales, COGS, Sales Team'!AE$13,$I86&gt;='Sales, COGS, Sales Team'!AE$13),$G86,0)</f>
        <v>725</v>
      </c>
      <c r="AF86" s="86">
        <f>IF(AND($H86&lt;='Sales, COGS, Sales Team'!AF$13,$I86&gt;='Sales, COGS, Sales Team'!AF$13),$G86,0)</f>
        <v>725</v>
      </c>
      <c r="AG86" s="86">
        <f>IF(AND($H86&lt;='Sales, COGS, Sales Team'!AG$13,$I86&gt;='Sales, COGS, Sales Team'!AG$13),$G86,0)</f>
        <v>725</v>
      </c>
      <c r="AH86" s="86">
        <f>IF(AND($H86&lt;='Sales, COGS, Sales Team'!AH$13,$I86&gt;='Sales, COGS, Sales Team'!AH$13),$G86,0)</f>
        <v>725</v>
      </c>
      <c r="AI86" s="86">
        <f>IF(AND($H86&lt;='Sales, COGS, Sales Team'!AI$13,$I86&gt;='Sales, COGS, Sales Team'!AI$13),$G86,0)</f>
        <v>725</v>
      </c>
      <c r="AJ86" s="86">
        <f>IF(AND($H86&lt;='Sales, COGS, Sales Team'!AJ$13,$I86&gt;='Sales, COGS, Sales Team'!AJ$13),$G86*(1+$G$90),0)</f>
        <v>1631.25</v>
      </c>
      <c r="AK86" s="86">
        <f>IF(AND($H86&lt;='Sales, COGS, Sales Team'!AK$13,$I86&gt;='Sales, COGS, Sales Team'!AK$13),$G86*(1+$G$90),0)</f>
        <v>1631.25</v>
      </c>
      <c r="AL86" s="86">
        <f>IF(AND($H86&lt;='Sales, COGS, Sales Team'!AL$13,$I86&gt;='Sales, COGS, Sales Team'!AL$13),$G86*(1+$G$90),0)</f>
        <v>1631.25</v>
      </c>
      <c r="AM86" s="86">
        <f>IF(AND($H86&lt;='Sales, COGS, Sales Team'!AM$13,$I86&gt;='Sales, COGS, Sales Team'!AM$13),$G86*(1+$G$90),0)</f>
        <v>1631.25</v>
      </c>
      <c r="AN86" s="86">
        <f>IF(AND($H86&lt;='Sales, COGS, Sales Team'!AN$13,$I86&gt;='Sales, COGS, Sales Team'!AN$13),$G86*(1+$G$90),0)</f>
        <v>1631.25</v>
      </c>
      <c r="AO86" s="86">
        <f>IF(AND($H86&lt;='Sales, COGS, Sales Team'!AO$13,$I86&gt;='Sales, COGS, Sales Team'!AO$13),$G86*(1+$G$90),0)</f>
        <v>1631.25</v>
      </c>
      <c r="AP86" s="86">
        <f>IF(AND($H86&lt;='Sales, COGS, Sales Team'!AP$13,$I86&gt;='Sales, COGS, Sales Team'!AP$13),$G86*(1+$G$90),0)</f>
        <v>1631.25</v>
      </c>
      <c r="AQ86" s="86">
        <f>IF(AND($H86&lt;='Sales, COGS, Sales Team'!AQ$13,$I86&gt;='Sales, COGS, Sales Team'!AQ$13),$G86*(1+$G$90),0)</f>
        <v>1631.25</v>
      </c>
      <c r="AR86" s="86">
        <f>IF(AND($H86&lt;='Sales, COGS, Sales Team'!AR$13,$I86&gt;='Sales, COGS, Sales Team'!AR$13),$G86*(1+$G$90),0)</f>
        <v>1631.25</v>
      </c>
      <c r="AS86" s="86">
        <f>IF(AND($H86&lt;='Sales, COGS, Sales Team'!AS$13,$I86&gt;='Sales, COGS, Sales Team'!AS$13),$G86*(1+$G$90),0)</f>
        <v>1631.25</v>
      </c>
      <c r="AT86" s="86">
        <f>IF(AND($H86&lt;='Sales, COGS, Sales Team'!AT$13,$I86&gt;='Sales, COGS, Sales Team'!AT$13),$G86*(1+$G$90),0)</f>
        <v>1631.25</v>
      </c>
      <c r="AU86" s="86">
        <f>IF(AND($H86&lt;='Sales, COGS, Sales Team'!AU$13,$I86&gt;='Sales, COGS, Sales Team'!AU$13),$G86*(1+$G$90),0)</f>
        <v>1631.25</v>
      </c>
      <c r="AV86" s="82"/>
      <c r="AW86" s="86">
        <f t="shared" ref="AW86:BD86" si="123">SUMIFS($L86:$AU86,$L$11:$AU$11,"&gt;"&amp;AV$11,$L$11:$AU$11,"&lt;="&amp;AW$11)</f>
        <v>2175</v>
      </c>
      <c r="AX86" s="86">
        <f t="shared" si="123"/>
        <v>2175</v>
      </c>
      <c r="AY86" s="86">
        <f t="shared" si="123"/>
        <v>2175</v>
      </c>
      <c r="AZ86" s="86">
        <f t="shared" si="123"/>
        <v>2175</v>
      </c>
      <c r="BA86" s="86">
        <f t="shared" si="123"/>
        <v>4893.75</v>
      </c>
      <c r="BB86" s="86">
        <f t="shared" si="123"/>
        <v>4893.75</v>
      </c>
      <c r="BC86" s="86">
        <f t="shared" si="123"/>
        <v>4893.75</v>
      </c>
      <c r="BD86" s="86">
        <f t="shared" si="123"/>
        <v>4893.75</v>
      </c>
      <c r="BE86" s="82"/>
      <c r="BF86" s="24">
        <f t="shared" ref="BF86:BG86" si="124">SUMIFS($AW86:$BD86,$AW$11:$BD$11,"&gt;"&amp;BE$11,$AW$11:$BD$11,"&lt;="&amp;BF$11)</f>
        <v>8700</v>
      </c>
      <c r="BG86" s="24">
        <f t="shared" si="124"/>
        <v>19575</v>
      </c>
      <c r="BH86" s="86"/>
      <c r="BI86" s="86"/>
      <c r="BJ86" s="86"/>
      <c r="BK86" s="82"/>
    </row>
    <row r="87" spans="2:63" hidden="1" outlineLevel="1" x14ac:dyDescent="0.2">
      <c r="B87" s="82"/>
      <c r="C87" s="81" t="s">
        <v>21</v>
      </c>
      <c r="D87" s="82"/>
      <c r="E87" s="82"/>
      <c r="F87" s="88">
        <v>730</v>
      </c>
      <c r="G87" s="83">
        <f t="shared" si="114"/>
        <v>60.833333333333336</v>
      </c>
      <c r="H87" s="89">
        <v>45199</v>
      </c>
      <c r="I87" s="89">
        <v>46022</v>
      </c>
      <c r="J87" s="89"/>
      <c r="K87" s="82"/>
      <c r="L87" s="86">
        <f>IF(AND($H87&lt;='Sales, COGS, Sales Team'!L$13,$I87&gt;='Sales, COGS, Sales Team'!L$13),$G87,0)</f>
        <v>0</v>
      </c>
      <c r="M87" s="86">
        <f>IF(AND($H87&lt;='Sales, COGS, Sales Team'!M$13,$I87&gt;='Sales, COGS, Sales Team'!M$13),$G87,0)</f>
        <v>0</v>
      </c>
      <c r="N87" s="86">
        <f>IF(AND($H87&lt;='Sales, COGS, Sales Team'!N$13,$I87&gt;='Sales, COGS, Sales Team'!N$13),$G87,0)</f>
        <v>0</v>
      </c>
      <c r="O87" s="86">
        <f>IF(AND($H87&lt;='Sales, COGS, Sales Team'!O$13,$I87&gt;='Sales, COGS, Sales Team'!O$13),$G87,0)</f>
        <v>0</v>
      </c>
      <c r="P87" s="86">
        <f>IF(AND($H87&lt;='Sales, COGS, Sales Team'!P$13,$I87&gt;='Sales, COGS, Sales Team'!P$13),$G87,0)</f>
        <v>0</v>
      </c>
      <c r="Q87" s="86">
        <f>IF(AND($H87&lt;='Sales, COGS, Sales Team'!Q$13,$I87&gt;='Sales, COGS, Sales Team'!Q$13),$G87,0)</f>
        <v>0</v>
      </c>
      <c r="R87" s="86">
        <f>IF(AND($H87&lt;='Sales, COGS, Sales Team'!R$13,$I87&gt;='Sales, COGS, Sales Team'!R$13),$G87,0)</f>
        <v>0</v>
      </c>
      <c r="S87" s="86">
        <f>IF(AND($H87&lt;='Sales, COGS, Sales Team'!S$13,$I87&gt;='Sales, COGS, Sales Team'!S$13),$G87,0)</f>
        <v>0</v>
      </c>
      <c r="T87" s="86">
        <f>IF(AND($H87&lt;='Sales, COGS, Sales Team'!T$13,$I87&gt;='Sales, COGS, Sales Team'!T$13),$G87,0)</f>
        <v>60.833333333333336</v>
      </c>
      <c r="U87" s="86">
        <f>IF(AND($H87&lt;='Sales, COGS, Sales Team'!U$13,$I87&gt;='Sales, COGS, Sales Team'!U$13),$G87,0)</f>
        <v>60.833333333333336</v>
      </c>
      <c r="V87" s="86">
        <f>IF(AND($H87&lt;='Sales, COGS, Sales Team'!V$13,$I87&gt;='Sales, COGS, Sales Team'!V$13),$G87,0)</f>
        <v>60.833333333333336</v>
      </c>
      <c r="W87" s="86">
        <f>IF(AND($H87&lt;='Sales, COGS, Sales Team'!W$13,$I87&gt;='Sales, COGS, Sales Team'!W$13),$G87,0)</f>
        <v>60.833333333333336</v>
      </c>
      <c r="X87" s="86">
        <f>IF(AND($H87&lt;='Sales, COGS, Sales Team'!X$13,$I87&gt;='Sales, COGS, Sales Team'!X$13),$G87,0)</f>
        <v>60.833333333333336</v>
      </c>
      <c r="Y87" s="86">
        <f>IF(AND($H87&lt;='Sales, COGS, Sales Team'!Y$13,$I87&gt;='Sales, COGS, Sales Team'!Y$13),$G87,0)</f>
        <v>60.833333333333336</v>
      </c>
      <c r="Z87" s="86">
        <f>IF(AND($H87&lt;='Sales, COGS, Sales Team'!Z$13,$I87&gt;='Sales, COGS, Sales Team'!Z$13),$G87,0)</f>
        <v>60.833333333333336</v>
      </c>
      <c r="AA87" s="86">
        <f>IF(AND($H87&lt;='Sales, COGS, Sales Team'!AA$13,$I87&gt;='Sales, COGS, Sales Team'!AA$13),$G87,0)</f>
        <v>60.833333333333336</v>
      </c>
      <c r="AB87" s="86">
        <f>IF(AND($H87&lt;='Sales, COGS, Sales Team'!AB$13,$I87&gt;='Sales, COGS, Sales Team'!AB$13),$G87,0)</f>
        <v>60.833333333333336</v>
      </c>
      <c r="AC87" s="86">
        <f>IF(AND($H87&lt;='Sales, COGS, Sales Team'!AC$13,$I87&gt;='Sales, COGS, Sales Team'!AC$13),$G87,0)</f>
        <v>60.833333333333336</v>
      </c>
      <c r="AD87" s="86">
        <f>IF(AND($H87&lt;='Sales, COGS, Sales Team'!AD$13,$I87&gt;='Sales, COGS, Sales Team'!AD$13),$G87,0)</f>
        <v>60.833333333333336</v>
      </c>
      <c r="AE87" s="86">
        <f>IF(AND($H87&lt;='Sales, COGS, Sales Team'!AE$13,$I87&gt;='Sales, COGS, Sales Team'!AE$13),$G87,0)</f>
        <v>60.833333333333336</v>
      </c>
      <c r="AF87" s="86">
        <f>IF(AND($H87&lt;='Sales, COGS, Sales Team'!AF$13,$I87&gt;='Sales, COGS, Sales Team'!AF$13),$G87,0)</f>
        <v>60.833333333333336</v>
      </c>
      <c r="AG87" s="86">
        <f>IF(AND($H87&lt;='Sales, COGS, Sales Team'!AG$13,$I87&gt;='Sales, COGS, Sales Team'!AG$13),$G87,0)</f>
        <v>60.833333333333336</v>
      </c>
      <c r="AH87" s="86">
        <f>IF(AND($H87&lt;='Sales, COGS, Sales Team'!AH$13,$I87&gt;='Sales, COGS, Sales Team'!AH$13),$G87,0)</f>
        <v>60.833333333333336</v>
      </c>
      <c r="AI87" s="86">
        <f>IF(AND($H87&lt;='Sales, COGS, Sales Team'!AI$13,$I87&gt;='Sales, COGS, Sales Team'!AI$13),$G87,0)</f>
        <v>60.833333333333336</v>
      </c>
      <c r="AJ87" s="86">
        <f>IF(AND($H87&lt;='Sales, COGS, Sales Team'!AJ$13,$I87&gt;='Sales, COGS, Sales Team'!AJ$13),$G87*(1+$G$90),0)</f>
        <v>136.875</v>
      </c>
      <c r="AK87" s="86">
        <f>IF(AND($H87&lt;='Sales, COGS, Sales Team'!AK$13,$I87&gt;='Sales, COGS, Sales Team'!AK$13),$G87*(1+$G$90),0)</f>
        <v>136.875</v>
      </c>
      <c r="AL87" s="86">
        <f>IF(AND($H87&lt;='Sales, COGS, Sales Team'!AL$13,$I87&gt;='Sales, COGS, Sales Team'!AL$13),$G87*(1+$G$90),0)</f>
        <v>136.875</v>
      </c>
      <c r="AM87" s="86">
        <f>IF(AND($H87&lt;='Sales, COGS, Sales Team'!AM$13,$I87&gt;='Sales, COGS, Sales Team'!AM$13),$G87*(1+$G$90),0)</f>
        <v>136.875</v>
      </c>
      <c r="AN87" s="86">
        <f>IF(AND($H87&lt;='Sales, COGS, Sales Team'!AN$13,$I87&gt;='Sales, COGS, Sales Team'!AN$13),$G87*(1+$G$90),0)</f>
        <v>136.875</v>
      </c>
      <c r="AO87" s="86">
        <f>IF(AND($H87&lt;='Sales, COGS, Sales Team'!AO$13,$I87&gt;='Sales, COGS, Sales Team'!AO$13),$G87*(1+$G$90),0)</f>
        <v>136.875</v>
      </c>
      <c r="AP87" s="86">
        <f>IF(AND($H87&lt;='Sales, COGS, Sales Team'!AP$13,$I87&gt;='Sales, COGS, Sales Team'!AP$13),$G87*(1+$G$90),0)</f>
        <v>136.875</v>
      </c>
      <c r="AQ87" s="86">
        <f>IF(AND($H87&lt;='Sales, COGS, Sales Team'!AQ$13,$I87&gt;='Sales, COGS, Sales Team'!AQ$13),$G87*(1+$G$90),0)</f>
        <v>136.875</v>
      </c>
      <c r="AR87" s="86">
        <f>IF(AND($H87&lt;='Sales, COGS, Sales Team'!AR$13,$I87&gt;='Sales, COGS, Sales Team'!AR$13),$G87*(1+$G$90),0)</f>
        <v>136.875</v>
      </c>
      <c r="AS87" s="86">
        <f>IF(AND($H87&lt;='Sales, COGS, Sales Team'!AS$13,$I87&gt;='Sales, COGS, Sales Team'!AS$13),$G87*(1+$G$90),0)</f>
        <v>136.875</v>
      </c>
      <c r="AT87" s="86">
        <f>IF(AND($H87&lt;='Sales, COGS, Sales Team'!AT$13,$I87&gt;='Sales, COGS, Sales Team'!AT$13),$G87*(1+$G$90),0)</f>
        <v>136.875</v>
      </c>
      <c r="AU87" s="86">
        <f>IF(AND($H87&lt;='Sales, COGS, Sales Team'!AU$13,$I87&gt;='Sales, COGS, Sales Team'!AU$13),$G87*(1+$G$90),0)</f>
        <v>136.875</v>
      </c>
      <c r="AV87" s="82"/>
      <c r="AW87" s="86">
        <f t="shared" ref="AW87:BD87" si="125">SUMIFS($L87:$AU87,$L$11:$AU$11,"&gt;"&amp;AV$11,$L$11:$AU$11,"&lt;="&amp;AW$11)</f>
        <v>182.5</v>
      </c>
      <c r="AX87" s="86">
        <f t="shared" si="125"/>
        <v>182.5</v>
      </c>
      <c r="AY87" s="86">
        <f t="shared" si="125"/>
        <v>182.5</v>
      </c>
      <c r="AZ87" s="86">
        <f t="shared" si="125"/>
        <v>182.5</v>
      </c>
      <c r="BA87" s="86">
        <f t="shared" si="125"/>
        <v>410.625</v>
      </c>
      <c r="BB87" s="86">
        <f t="shared" si="125"/>
        <v>410.625</v>
      </c>
      <c r="BC87" s="86">
        <f t="shared" si="125"/>
        <v>410.625</v>
      </c>
      <c r="BD87" s="86">
        <f t="shared" si="125"/>
        <v>410.625</v>
      </c>
      <c r="BE87" s="82"/>
      <c r="BF87" s="24">
        <f t="shared" ref="BF87:BG87" si="126">SUMIFS($AW87:$BD87,$AW$11:$BD$11,"&gt;"&amp;BE$11,$AW$11:$BD$11,"&lt;="&amp;BF$11)</f>
        <v>730</v>
      </c>
      <c r="BG87" s="24">
        <f t="shared" si="126"/>
        <v>1642.5</v>
      </c>
      <c r="BH87" s="86"/>
      <c r="BI87" s="86"/>
      <c r="BJ87" s="86"/>
      <c r="BK87" s="82"/>
    </row>
    <row r="88" spans="2:63" hidden="1" outlineLevel="1" x14ac:dyDescent="0.2">
      <c r="B88" s="82"/>
      <c r="C88" s="81" t="s">
        <v>22</v>
      </c>
      <c r="D88" s="82"/>
      <c r="E88" s="82"/>
      <c r="F88" s="88">
        <v>9000</v>
      </c>
      <c r="G88" s="83">
        <f t="shared" si="114"/>
        <v>750</v>
      </c>
      <c r="H88" s="89">
        <v>45199</v>
      </c>
      <c r="I88" s="89">
        <v>46022</v>
      </c>
      <c r="J88" s="89"/>
      <c r="K88" s="82"/>
      <c r="L88" s="86">
        <f>IF(AND($H88&lt;='Sales, COGS, Sales Team'!L$13,$I88&gt;='Sales, COGS, Sales Team'!L$13),$G88,0)</f>
        <v>0</v>
      </c>
      <c r="M88" s="86">
        <f>IF(AND($H88&lt;='Sales, COGS, Sales Team'!M$13,$I88&gt;='Sales, COGS, Sales Team'!M$13),$G88,0)</f>
        <v>0</v>
      </c>
      <c r="N88" s="86">
        <f>IF(AND($H88&lt;='Sales, COGS, Sales Team'!N$13,$I88&gt;='Sales, COGS, Sales Team'!N$13),$G88,0)</f>
        <v>0</v>
      </c>
      <c r="O88" s="86">
        <f>IF(AND($H88&lt;='Sales, COGS, Sales Team'!O$13,$I88&gt;='Sales, COGS, Sales Team'!O$13),$G88,0)</f>
        <v>0</v>
      </c>
      <c r="P88" s="86">
        <f>IF(AND($H88&lt;='Sales, COGS, Sales Team'!P$13,$I88&gt;='Sales, COGS, Sales Team'!P$13),$G88,0)</f>
        <v>0</v>
      </c>
      <c r="Q88" s="86">
        <f>IF(AND($H88&lt;='Sales, COGS, Sales Team'!Q$13,$I88&gt;='Sales, COGS, Sales Team'!Q$13),$G88,0)</f>
        <v>0</v>
      </c>
      <c r="R88" s="86">
        <f>IF(AND($H88&lt;='Sales, COGS, Sales Team'!R$13,$I88&gt;='Sales, COGS, Sales Team'!R$13),$G88,0)</f>
        <v>0</v>
      </c>
      <c r="S88" s="86">
        <f>IF(AND($H88&lt;='Sales, COGS, Sales Team'!S$13,$I88&gt;='Sales, COGS, Sales Team'!S$13),$G88,0)</f>
        <v>0</v>
      </c>
      <c r="T88" s="86">
        <f>IF(AND($H88&lt;='Sales, COGS, Sales Team'!T$13,$I88&gt;='Sales, COGS, Sales Team'!T$13),$G88,0)</f>
        <v>750</v>
      </c>
      <c r="U88" s="86">
        <f>IF(AND($H88&lt;='Sales, COGS, Sales Team'!U$13,$I88&gt;='Sales, COGS, Sales Team'!U$13),$G88,0)</f>
        <v>750</v>
      </c>
      <c r="V88" s="86">
        <f>IF(AND($H88&lt;='Sales, COGS, Sales Team'!V$13,$I88&gt;='Sales, COGS, Sales Team'!V$13),$G88,0)</f>
        <v>750</v>
      </c>
      <c r="W88" s="86">
        <f>IF(AND($H88&lt;='Sales, COGS, Sales Team'!W$13,$I88&gt;='Sales, COGS, Sales Team'!W$13),$G88,0)</f>
        <v>750</v>
      </c>
      <c r="X88" s="86">
        <f>IF(AND($H88&lt;='Sales, COGS, Sales Team'!X$13,$I88&gt;='Sales, COGS, Sales Team'!X$13),$G88,0)</f>
        <v>750</v>
      </c>
      <c r="Y88" s="86">
        <f>IF(AND($H88&lt;='Sales, COGS, Sales Team'!Y$13,$I88&gt;='Sales, COGS, Sales Team'!Y$13),$G88,0)</f>
        <v>750</v>
      </c>
      <c r="Z88" s="86">
        <f>IF(AND($H88&lt;='Sales, COGS, Sales Team'!Z$13,$I88&gt;='Sales, COGS, Sales Team'!Z$13),$G88,0)</f>
        <v>750</v>
      </c>
      <c r="AA88" s="86">
        <f>IF(AND($H88&lt;='Sales, COGS, Sales Team'!AA$13,$I88&gt;='Sales, COGS, Sales Team'!AA$13),$G88,0)</f>
        <v>750</v>
      </c>
      <c r="AB88" s="86">
        <f>IF(AND($H88&lt;='Sales, COGS, Sales Team'!AB$13,$I88&gt;='Sales, COGS, Sales Team'!AB$13),$G88,0)</f>
        <v>750</v>
      </c>
      <c r="AC88" s="86">
        <f>IF(AND($H88&lt;='Sales, COGS, Sales Team'!AC$13,$I88&gt;='Sales, COGS, Sales Team'!AC$13),$G88,0)</f>
        <v>750</v>
      </c>
      <c r="AD88" s="86">
        <f>IF(AND($H88&lt;='Sales, COGS, Sales Team'!AD$13,$I88&gt;='Sales, COGS, Sales Team'!AD$13),$G88,0)</f>
        <v>750</v>
      </c>
      <c r="AE88" s="86">
        <f>IF(AND($H88&lt;='Sales, COGS, Sales Team'!AE$13,$I88&gt;='Sales, COGS, Sales Team'!AE$13),$G88,0)</f>
        <v>750</v>
      </c>
      <c r="AF88" s="86">
        <f>IF(AND($H88&lt;='Sales, COGS, Sales Team'!AF$13,$I88&gt;='Sales, COGS, Sales Team'!AF$13),$G88,0)</f>
        <v>750</v>
      </c>
      <c r="AG88" s="86">
        <f>IF(AND($H88&lt;='Sales, COGS, Sales Team'!AG$13,$I88&gt;='Sales, COGS, Sales Team'!AG$13),$G88,0)</f>
        <v>750</v>
      </c>
      <c r="AH88" s="86">
        <f>IF(AND($H88&lt;='Sales, COGS, Sales Team'!AH$13,$I88&gt;='Sales, COGS, Sales Team'!AH$13),$G88,0)</f>
        <v>750</v>
      </c>
      <c r="AI88" s="86">
        <f>IF(AND($H88&lt;='Sales, COGS, Sales Team'!AI$13,$I88&gt;='Sales, COGS, Sales Team'!AI$13),$G88,0)</f>
        <v>750</v>
      </c>
      <c r="AJ88" s="86">
        <f>IF(AND($H88&lt;='Sales, COGS, Sales Team'!AJ$13,$I88&gt;='Sales, COGS, Sales Team'!AJ$13),$G88*(1+$G$90),0)</f>
        <v>1687.5</v>
      </c>
      <c r="AK88" s="86">
        <f>IF(AND($H88&lt;='Sales, COGS, Sales Team'!AK$13,$I88&gt;='Sales, COGS, Sales Team'!AK$13),$G88*(1+$G$90),0)</f>
        <v>1687.5</v>
      </c>
      <c r="AL88" s="86">
        <f>IF(AND($H88&lt;='Sales, COGS, Sales Team'!AL$13,$I88&gt;='Sales, COGS, Sales Team'!AL$13),$G88*(1+$G$90),0)</f>
        <v>1687.5</v>
      </c>
      <c r="AM88" s="86">
        <f>IF(AND($H88&lt;='Sales, COGS, Sales Team'!AM$13,$I88&gt;='Sales, COGS, Sales Team'!AM$13),$G88*(1+$G$90),0)</f>
        <v>1687.5</v>
      </c>
      <c r="AN88" s="86">
        <f>IF(AND($H88&lt;='Sales, COGS, Sales Team'!AN$13,$I88&gt;='Sales, COGS, Sales Team'!AN$13),$G88*(1+$G$90),0)</f>
        <v>1687.5</v>
      </c>
      <c r="AO88" s="86">
        <f>IF(AND($H88&lt;='Sales, COGS, Sales Team'!AO$13,$I88&gt;='Sales, COGS, Sales Team'!AO$13),$G88*(1+$G$90),0)</f>
        <v>1687.5</v>
      </c>
      <c r="AP88" s="86">
        <f>IF(AND($H88&lt;='Sales, COGS, Sales Team'!AP$13,$I88&gt;='Sales, COGS, Sales Team'!AP$13),$G88*(1+$G$90),0)</f>
        <v>1687.5</v>
      </c>
      <c r="AQ88" s="86">
        <f>IF(AND($H88&lt;='Sales, COGS, Sales Team'!AQ$13,$I88&gt;='Sales, COGS, Sales Team'!AQ$13),$G88*(1+$G$90),0)</f>
        <v>1687.5</v>
      </c>
      <c r="AR88" s="86">
        <f>IF(AND($H88&lt;='Sales, COGS, Sales Team'!AR$13,$I88&gt;='Sales, COGS, Sales Team'!AR$13),$G88*(1+$G$90),0)</f>
        <v>1687.5</v>
      </c>
      <c r="AS88" s="86">
        <f>IF(AND($H88&lt;='Sales, COGS, Sales Team'!AS$13,$I88&gt;='Sales, COGS, Sales Team'!AS$13),$G88*(1+$G$90),0)</f>
        <v>1687.5</v>
      </c>
      <c r="AT88" s="86">
        <f>IF(AND($H88&lt;='Sales, COGS, Sales Team'!AT$13,$I88&gt;='Sales, COGS, Sales Team'!AT$13),$G88*(1+$G$90),0)</f>
        <v>1687.5</v>
      </c>
      <c r="AU88" s="86">
        <f>IF(AND($H88&lt;='Sales, COGS, Sales Team'!AU$13,$I88&gt;='Sales, COGS, Sales Team'!AU$13),$G88*(1+$G$90),0)</f>
        <v>1687.5</v>
      </c>
      <c r="AV88" s="82"/>
      <c r="AW88" s="86">
        <f t="shared" ref="AW88:BD88" si="127">SUMIFS($L88:$AU88,$L$11:$AU$11,"&gt;"&amp;AV$11,$L$11:$AU$11,"&lt;="&amp;AW$11)</f>
        <v>2250</v>
      </c>
      <c r="AX88" s="86">
        <f t="shared" si="127"/>
        <v>2250</v>
      </c>
      <c r="AY88" s="86">
        <f t="shared" si="127"/>
        <v>2250</v>
      </c>
      <c r="AZ88" s="86">
        <f t="shared" si="127"/>
        <v>2250</v>
      </c>
      <c r="BA88" s="86">
        <f t="shared" si="127"/>
        <v>5062.5</v>
      </c>
      <c r="BB88" s="86">
        <f t="shared" si="127"/>
        <v>5062.5</v>
      </c>
      <c r="BC88" s="86">
        <f t="shared" si="127"/>
        <v>5062.5</v>
      </c>
      <c r="BD88" s="86">
        <f t="shared" si="127"/>
        <v>5062.5</v>
      </c>
      <c r="BE88" s="82"/>
      <c r="BF88" s="24">
        <f t="shared" ref="BF88:BG88" si="128">SUMIFS($AW88:$BD88,$AW$11:$BD$11,"&gt;"&amp;BE$11,$AW$11:$BD$11,"&lt;="&amp;BF$11)</f>
        <v>9000</v>
      </c>
      <c r="BG88" s="24">
        <f t="shared" si="128"/>
        <v>20250</v>
      </c>
      <c r="BH88" s="86"/>
      <c r="BI88" s="86"/>
      <c r="BJ88" s="86"/>
      <c r="BK88" s="82"/>
    </row>
    <row r="89" spans="2:63" hidden="1" outlineLevel="1" x14ac:dyDescent="0.2">
      <c r="B89" s="82"/>
      <c r="C89" s="90" t="s">
        <v>14</v>
      </c>
      <c r="D89" s="82"/>
      <c r="E89" s="82"/>
      <c r="F89" s="92">
        <f>G89*12</f>
        <v>14256</v>
      </c>
      <c r="G89" s="88">
        <v>1188</v>
      </c>
      <c r="H89" s="89">
        <v>45199</v>
      </c>
      <c r="I89" s="89">
        <v>46022</v>
      </c>
      <c r="J89" s="89"/>
      <c r="K89" s="82"/>
      <c r="L89" s="86">
        <f>IF(AND($H89&lt;='Sales, COGS, Sales Team'!L$13,$I89&gt;='Sales, COGS, Sales Team'!L$13),$G89,0)</f>
        <v>0</v>
      </c>
      <c r="M89" s="86">
        <f>IF(AND($H89&lt;='Sales, COGS, Sales Team'!M$13,$I89&gt;='Sales, COGS, Sales Team'!M$13),$G89,0)</f>
        <v>0</v>
      </c>
      <c r="N89" s="86">
        <f>IF(AND($H89&lt;='Sales, COGS, Sales Team'!N$13,$I89&gt;='Sales, COGS, Sales Team'!N$13),$G89,0)</f>
        <v>0</v>
      </c>
      <c r="O89" s="86">
        <f>IF(AND($H89&lt;='Sales, COGS, Sales Team'!O$13,$I89&gt;='Sales, COGS, Sales Team'!O$13),$G89,0)</f>
        <v>0</v>
      </c>
      <c r="P89" s="86">
        <f>IF(AND($H89&lt;='Sales, COGS, Sales Team'!P$13,$I89&gt;='Sales, COGS, Sales Team'!P$13),$G89,0)</f>
        <v>0</v>
      </c>
      <c r="Q89" s="86">
        <f>IF(AND($H89&lt;='Sales, COGS, Sales Team'!Q$13,$I89&gt;='Sales, COGS, Sales Team'!Q$13),$G89,0)</f>
        <v>0</v>
      </c>
      <c r="R89" s="86">
        <f>IF(AND($H89&lt;='Sales, COGS, Sales Team'!R$13,$I89&gt;='Sales, COGS, Sales Team'!R$13),$G89,0)</f>
        <v>0</v>
      </c>
      <c r="S89" s="86">
        <f>IF(AND($H89&lt;='Sales, COGS, Sales Team'!S$13,$I89&gt;='Sales, COGS, Sales Team'!S$13),$G89,0)</f>
        <v>0</v>
      </c>
      <c r="T89" s="86">
        <f>IF(AND($H89&lt;='Sales, COGS, Sales Team'!T$13,$I89&gt;='Sales, COGS, Sales Team'!T$13),$G89,0)</f>
        <v>1188</v>
      </c>
      <c r="U89" s="86">
        <f>IF(AND($H89&lt;='Sales, COGS, Sales Team'!U$13,$I89&gt;='Sales, COGS, Sales Team'!U$13),$G89,0)</f>
        <v>1188</v>
      </c>
      <c r="V89" s="86">
        <f>IF(AND($H89&lt;='Sales, COGS, Sales Team'!V$13,$I89&gt;='Sales, COGS, Sales Team'!V$13),$G89,0)</f>
        <v>1188</v>
      </c>
      <c r="W89" s="86">
        <f>IF(AND($H89&lt;='Sales, COGS, Sales Team'!W$13,$I89&gt;='Sales, COGS, Sales Team'!W$13),$G89,0)</f>
        <v>1188</v>
      </c>
      <c r="X89" s="86">
        <f>IF(AND($H89&lt;='Sales, COGS, Sales Team'!X$13,$I89&gt;='Sales, COGS, Sales Team'!X$13),$G89,0)</f>
        <v>1188</v>
      </c>
      <c r="Y89" s="86">
        <f>IF(AND($H89&lt;='Sales, COGS, Sales Team'!Y$13,$I89&gt;='Sales, COGS, Sales Team'!Y$13),$G89,0)</f>
        <v>1188</v>
      </c>
      <c r="Z89" s="86">
        <f>IF(AND($H89&lt;='Sales, COGS, Sales Team'!Z$13,$I89&gt;='Sales, COGS, Sales Team'!Z$13),$G89,0)</f>
        <v>1188</v>
      </c>
      <c r="AA89" s="86">
        <f>IF(AND($H89&lt;='Sales, COGS, Sales Team'!AA$13,$I89&gt;='Sales, COGS, Sales Team'!AA$13),$G89,0)</f>
        <v>1188</v>
      </c>
      <c r="AB89" s="86">
        <f>IF(AND($H89&lt;='Sales, COGS, Sales Team'!AB$13,$I89&gt;='Sales, COGS, Sales Team'!AB$13),$G89,0)</f>
        <v>1188</v>
      </c>
      <c r="AC89" s="86">
        <f>IF(AND($H89&lt;='Sales, COGS, Sales Team'!AC$13,$I89&gt;='Sales, COGS, Sales Team'!AC$13),$G89,0)</f>
        <v>1188</v>
      </c>
      <c r="AD89" s="86">
        <f>IF(AND($H89&lt;='Sales, COGS, Sales Team'!AD$13,$I89&gt;='Sales, COGS, Sales Team'!AD$13),$G89,0)</f>
        <v>1188</v>
      </c>
      <c r="AE89" s="86">
        <f>IF(AND($H89&lt;='Sales, COGS, Sales Team'!AE$13,$I89&gt;='Sales, COGS, Sales Team'!AE$13),$G89,0)</f>
        <v>1188</v>
      </c>
      <c r="AF89" s="86">
        <f>IF(AND($H89&lt;='Sales, COGS, Sales Team'!AF$13,$I89&gt;='Sales, COGS, Sales Team'!AF$13),$G89,0)</f>
        <v>1188</v>
      </c>
      <c r="AG89" s="86">
        <f>IF(AND($H89&lt;='Sales, COGS, Sales Team'!AG$13,$I89&gt;='Sales, COGS, Sales Team'!AG$13),$G89,0)</f>
        <v>1188</v>
      </c>
      <c r="AH89" s="86">
        <f>IF(AND($H89&lt;='Sales, COGS, Sales Team'!AH$13,$I89&gt;='Sales, COGS, Sales Team'!AH$13),$G89,0)</f>
        <v>1188</v>
      </c>
      <c r="AI89" s="86">
        <f>IF(AND($H89&lt;='Sales, COGS, Sales Team'!AI$13,$I89&gt;='Sales, COGS, Sales Team'!AI$13),$G89,0)</f>
        <v>1188</v>
      </c>
      <c r="AJ89" s="86">
        <f>IF(AND($H89&lt;='Sales, COGS, Sales Team'!AJ$13,$I89&gt;='Sales, COGS, Sales Team'!AJ$13),$G89*(1+$G$90),0)</f>
        <v>2673</v>
      </c>
      <c r="AK89" s="86">
        <f>IF(AND($H89&lt;='Sales, COGS, Sales Team'!AK$13,$I89&gt;='Sales, COGS, Sales Team'!AK$13),$G89*(1+$G$90),0)</f>
        <v>2673</v>
      </c>
      <c r="AL89" s="86">
        <f>IF(AND($H89&lt;='Sales, COGS, Sales Team'!AL$13,$I89&gt;='Sales, COGS, Sales Team'!AL$13),$G89*(1+$G$90),0)</f>
        <v>2673</v>
      </c>
      <c r="AM89" s="86">
        <f>IF(AND($H89&lt;='Sales, COGS, Sales Team'!AM$13,$I89&gt;='Sales, COGS, Sales Team'!AM$13),$G89*(1+$G$90),0)</f>
        <v>2673</v>
      </c>
      <c r="AN89" s="86">
        <f>IF(AND($H89&lt;='Sales, COGS, Sales Team'!AN$13,$I89&gt;='Sales, COGS, Sales Team'!AN$13),$G89*(1+$G$90),0)</f>
        <v>2673</v>
      </c>
      <c r="AO89" s="86">
        <f>IF(AND($H89&lt;='Sales, COGS, Sales Team'!AO$13,$I89&gt;='Sales, COGS, Sales Team'!AO$13),$G89*(1+$G$90),0)</f>
        <v>2673</v>
      </c>
      <c r="AP89" s="86">
        <f>IF(AND($H89&lt;='Sales, COGS, Sales Team'!AP$13,$I89&gt;='Sales, COGS, Sales Team'!AP$13),$G89*(1+$G$90),0)</f>
        <v>2673</v>
      </c>
      <c r="AQ89" s="86">
        <f>IF(AND($H89&lt;='Sales, COGS, Sales Team'!AQ$13,$I89&gt;='Sales, COGS, Sales Team'!AQ$13),$G89*(1+$G$90),0)</f>
        <v>2673</v>
      </c>
      <c r="AR89" s="86">
        <f>IF(AND($H89&lt;='Sales, COGS, Sales Team'!AR$13,$I89&gt;='Sales, COGS, Sales Team'!AR$13),$G89*(1+$G$90),0)</f>
        <v>2673</v>
      </c>
      <c r="AS89" s="86">
        <f>IF(AND($H89&lt;='Sales, COGS, Sales Team'!AS$13,$I89&gt;='Sales, COGS, Sales Team'!AS$13),$G89*(1+$G$90),0)</f>
        <v>2673</v>
      </c>
      <c r="AT89" s="86">
        <f>IF(AND($H89&lt;='Sales, COGS, Sales Team'!AT$13,$I89&gt;='Sales, COGS, Sales Team'!AT$13),$G89*(1+$G$90),0)</f>
        <v>2673</v>
      </c>
      <c r="AU89" s="86">
        <f>IF(AND($H89&lt;='Sales, COGS, Sales Team'!AU$13,$I89&gt;='Sales, COGS, Sales Team'!AU$13),$G89*(1+$G$90),0)</f>
        <v>2673</v>
      </c>
      <c r="AV89" s="82"/>
      <c r="AW89" s="91">
        <f t="shared" ref="AW89:BD89" si="129">SUMIFS($L89:$AU89,$L$11:$AU$11,"&gt;"&amp;AV$11,$L$11:$AU$11,"&lt;="&amp;AW$11)</f>
        <v>3564</v>
      </c>
      <c r="AX89" s="91">
        <f t="shared" si="129"/>
        <v>3564</v>
      </c>
      <c r="AY89" s="91">
        <f t="shared" si="129"/>
        <v>3564</v>
      </c>
      <c r="AZ89" s="91">
        <f t="shared" si="129"/>
        <v>3564</v>
      </c>
      <c r="BA89" s="91">
        <f t="shared" si="129"/>
        <v>8019</v>
      </c>
      <c r="BB89" s="91">
        <f t="shared" si="129"/>
        <v>8019</v>
      </c>
      <c r="BC89" s="91">
        <f t="shared" si="129"/>
        <v>8019</v>
      </c>
      <c r="BD89" s="91">
        <f t="shared" si="129"/>
        <v>8019</v>
      </c>
      <c r="BE89" s="82"/>
      <c r="BF89" s="76">
        <f t="shared" ref="BF89:BG89" si="130">SUMIFS($AW89:$BD89,$AW$11:$BD$11,"&gt;"&amp;BE$11,$AW$11:$BD$11,"&lt;="&amp;BF$11)</f>
        <v>14256</v>
      </c>
      <c r="BG89" s="76">
        <f t="shared" si="130"/>
        <v>32076</v>
      </c>
      <c r="BH89" s="91"/>
      <c r="BI89" s="91"/>
      <c r="BJ89" s="91"/>
      <c r="BK89" s="82"/>
    </row>
    <row r="90" spans="2:63" collapsed="1" x14ac:dyDescent="0.2">
      <c r="C90" s="23" t="s">
        <v>89</v>
      </c>
      <c r="F90" s="67"/>
      <c r="G90" s="185">
        <f>'Key Assumptions + Summary'!E80</f>
        <v>1.25</v>
      </c>
      <c r="H90" s="185">
        <f>'Key Assumptions + Summary'!F80</f>
        <v>0.5</v>
      </c>
      <c r="I90" s="185">
        <f>'Key Assumptions + Summary'!G80</f>
        <v>0.25</v>
      </c>
      <c r="J90" s="185">
        <f>'Key Assumptions + Summary'!H80</f>
        <v>0.15</v>
      </c>
      <c r="L90" s="24">
        <f t="shared" ref="L90" si="131">SUM(L78:L89)</f>
        <v>0</v>
      </c>
      <c r="M90" s="24">
        <f t="shared" ref="M90" si="132">SUM(M78:M89)</f>
        <v>0</v>
      </c>
      <c r="N90" s="24">
        <f t="shared" ref="N90" si="133">SUM(N78:N89)</f>
        <v>0</v>
      </c>
      <c r="O90" s="24">
        <f t="shared" ref="O90" si="134">SUM(O78:O89)</f>
        <v>0</v>
      </c>
      <c r="P90" s="24">
        <f t="shared" ref="P90" si="135">SUM(P78:P89)</f>
        <v>0</v>
      </c>
      <c r="Q90" s="24">
        <f t="shared" ref="Q90" si="136">SUM(Q78:Q89)</f>
        <v>0</v>
      </c>
      <c r="R90" s="24">
        <f t="shared" ref="R90" si="137">SUM(R78:R89)</f>
        <v>0</v>
      </c>
      <c r="S90" s="24">
        <f t="shared" ref="S90" si="138">SUM(S78:S89)</f>
        <v>0</v>
      </c>
      <c r="T90" s="24">
        <f t="shared" ref="T90" si="139">SUM(T78:T89)</f>
        <v>17106.54938271605</v>
      </c>
      <c r="U90" s="24">
        <f t="shared" ref="U90" si="140">SUM(U78:U89)</f>
        <v>17106.54938271605</v>
      </c>
      <c r="V90" s="24">
        <f t="shared" ref="V90" si="141">SUM(V78:V89)</f>
        <v>17106.54938271605</v>
      </c>
      <c r="W90" s="24">
        <f t="shared" ref="W90" si="142">SUM(W78:W89)</f>
        <v>17106.54938271605</v>
      </c>
      <c r="X90" s="24">
        <f t="shared" ref="X90" si="143">SUM(X78:X89)</f>
        <v>33356.549382716046</v>
      </c>
      <c r="Y90" s="24">
        <f t="shared" ref="Y90" si="144">SUM(Y78:Y89)</f>
        <v>33356.549382716046</v>
      </c>
      <c r="Z90" s="24">
        <f t="shared" ref="Z90" si="145">SUM(Z78:Z89)</f>
        <v>33356.549382716046</v>
      </c>
      <c r="AA90" s="24">
        <f t="shared" ref="AA90" si="146">SUM(AA78:AA89)</f>
        <v>33356.549382716046</v>
      </c>
      <c r="AB90" s="24">
        <f t="shared" ref="AB90" si="147">SUM(AB78:AB89)</f>
        <v>33356.549382716046</v>
      </c>
      <c r="AC90" s="24">
        <f t="shared" ref="AC90" si="148">SUM(AC78:AC89)</f>
        <v>33356.549382716046</v>
      </c>
      <c r="AD90" s="24">
        <f t="shared" ref="AD90" si="149">SUM(AD78:AD89)</f>
        <v>33356.549382716046</v>
      </c>
      <c r="AE90" s="24">
        <f t="shared" ref="AE90" si="150">SUM(AE78:AE89)</f>
        <v>32689.882716049382</v>
      </c>
      <c r="AF90" s="24">
        <f t="shared" ref="AF90" si="151">SUM(AF78:AF89)</f>
        <v>32689.882716049382</v>
      </c>
      <c r="AG90" s="24">
        <f t="shared" ref="AG90" si="152">SUM(AG78:AG89)</f>
        <v>32689.882716049382</v>
      </c>
      <c r="AH90" s="24">
        <f t="shared" ref="AH90" si="153">SUM(AH78:AH89)</f>
        <v>32689.882716049382</v>
      </c>
      <c r="AI90" s="24">
        <f t="shared" ref="AI90" si="154">SUM(AI78:AI89)</f>
        <v>32689.882716049382</v>
      </c>
      <c r="AJ90" s="24">
        <f t="shared" ref="AJ90" si="155">SUM(AJ78:AJ89)</f>
        <v>73552.236111111109</v>
      </c>
      <c r="AK90" s="24">
        <f t="shared" ref="AK90" si="156">SUM(AK78:AK89)</f>
        <v>73552.236111111109</v>
      </c>
      <c r="AL90" s="24">
        <f t="shared" ref="AL90" si="157">SUM(AL78:AL89)</f>
        <v>73552.236111111109</v>
      </c>
      <c r="AM90" s="24">
        <f t="shared" ref="AM90" si="158">SUM(AM78:AM89)</f>
        <v>73552.236111111109</v>
      </c>
      <c r="AN90" s="24">
        <f t="shared" ref="AN90" si="159">SUM(AN78:AN89)</f>
        <v>73552.236111111109</v>
      </c>
      <c r="AO90" s="24">
        <f t="shared" ref="AO90" si="160">SUM(AO78:AO89)</f>
        <v>73552.236111111109</v>
      </c>
      <c r="AP90" s="24">
        <f t="shared" ref="AP90" si="161">SUM(AP78:AP89)</f>
        <v>73552.236111111109</v>
      </c>
      <c r="AQ90" s="24">
        <f t="shared" ref="AQ90" si="162">SUM(AQ78:AQ89)</f>
        <v>73552.236111111109</v>
      </c>
      <c r="AR90" s="24">
        <f t="shared" ref="AR90" si="163">SUM(AR78:AR89)</f>
        <v>73552.236111111109</v>
      </c>
      <c r="AS90" s="24">
        <f t="shared" ref="AS90" si="164">SUM(AS78:AS89)</f>
        <v>73552.236111111109</v>
      </c>
      <c r="AT90" s="24">
        <f t="shared" ref="AT90" si="165">SUM(AT78:AT89)</f>
        <v>73552.236111111109</v>
      </c>
      <c r="AU90" s="24">
        <f t="shared" ref="AU90" si="166">SUM(AU78:AU89)</f>
        <v>73552.236111111109</v>
      </c>
      <c r="AW90" s="24">
        <f t="shared" ref="AW90:BD90" si="167">SUM(AW78:AW89)</f>
        <v>100069.64814814815</v>
      </c>
      <c r="AX90" s="24">
        <f t="shared" si="167"/>
        <v>100069.64814814815</v>
      </c>
      <c r="AY90" s="24">
        <f t="shared" si="167"/>
        <v>98736.314814814818</v>
      </c>
      <c r="AZ90" s="24">
        <f t="shared" si="167"/>
        <v>98069.648148148146</v>
      </c>
      <c r="BA90" s="24">
        <f t="shared" si="167"/>
        <v>220656.70833333331</v>
      </c>
      <c r="BB90" s="24">
        <f t="shared" si="167"/>
        <v>220656.70833333331</v>
      </c>
      <c r="BC90" s="24">
        <f t="shared" si="167"/>
        <v>220656.70833333331</v>
      </c>
      <c r="BD90" s="24">
        <f t="shared" si="167"/>
        <v>220656.70833333331</v>
      </c>
      <c r="BF90" s="24">
        <f>SUM(BF78:BF89)</f>
        <v>396945.25925925927</v>
      </c>
      <c r="BG90" s="24">
        <f>SUM(BG78:BG89)</f>
        <v>882626.83333333326</v>
      </c>
      <c r="BH90" s="24">
        <f>BG90*(1+H90)</f>
        <v>1323940.25</v>
      </c>
      <c r="BI90" s="24">
        <f>BH90*(1+I90)</f>
        <v>1654925.3125</v>
      </c>
      <c r="BJ90" s="24">
        <f>BI90*(1+J90)</f>
        <v>1903164.1093749998</v>
      </c>
    </row>
    <row r="91" spans="2:63" ht="15" hidden="1" outlineLevel="1" x14ac:dyDescent="0.35">
      <c r="C91" s="23"/>
      <c r="F91" s="69" t="s">
        <v>382</v>
      </c>
      <c r="G91" s="69" t="s">
        <v>30</v>
      </c>
      <c r="H91" s="69" t="s">
        <v>31</v>
      </c>
      <c r="I91" s="69" t="s">
        <v>72</v>
      </c>
    </row>
    <row r="92" spans="2:63" hidden="1" outlineLevel="1" x14ac:dyDescent="0.2">
      <c r="B92" s="82"/>
      <c r="C92" s="81" t="s">
        <v>71</v>
      </c>
      <c r="D92" s="82"/>
      <c r="E92" s="82"/>
      <c r="F92" s="83"/>
      <c r="G92" s="83"/>
      <c r="H92" s="84"/>
      <c r="I92" s="85"/>
      <c r="J92" s="85"/>
      <c r="K92" s="82"/>
      <c r="L92" s="86">
        <f>IF($H92&lt;='Sales, COGS, Sales Team'!L$13,$G92,0)</f>
        <v>0</v>
      </c>
      <c r="M92" s="86">
        <f>IF($H92&lt;='Sales, COGS, Sales Team'!M$13,$G92,0)</f>
        <v>0</v>
      </c>
      <c r="N92" s="86">
        <f>IF($H92&lt;='Sales, COGS, Sales Team'!N$13,$G92,0)</f>
        <v>0</v>
      </c>
      <c r="O92" s="86">
        <f>IF($H92&lt;='Sales, COGS, Sales Team'!O$13,$G92,0)</f>
        <v>0</v>
      </c>
      <c r="P92" s="86">
        <f>IF($H92&lt;='Sales, COGS, Sales Team'!P$13,$G92,0)</f>
        <v>0</v>
      </c>
      <c r="Q92" s="86">
        <f>IF($H92&lt;='Sales, COGS, Sales Team'!Q$13,$G92,0)</f>
        <v>0</v>
      </c>
      <c r="R92" s="86">
        <f>IF($H92&lt;='Sales, COGS, Sales Team'!R$13,$G92,0)</f>
        <v>0</v>
      </c>
      <c r="S92" s="87">
        <f>IF($H92&lt;='Sales, COGS, Sales Team'!S$13,$G92,0)</f>
        <v>0</v>
      </c>
      <c r="T92" s="87">
        <f>IF($H92&lt;='Sales, COGS, Sales Team'!T$13,$G92,0)</f>
        <v>0</v>
      </c>
      <c r="U92" s="87">
        <f>IF($H92&lt;='Sales, COGS, Sales Team'!U$13,$G92,0)</f>
        <v>0</v>
      </c>
      <c r="V92" s="87">
        <f>IF($H92&lt;='Sales, COGS, Sales Team'!V$13,$G92,0)</f>
        <v>0</v>
      </c>
      <c r="W92" s="87">
        <v>20000</v>
      </c>
      <c r="X92" s="87">
        <f>IF($H92&lt;='Sales, COGS, Sales Team'!X$13,$G92,0)</f>
        <v>0</v>
      </c>
      <c r="Y92" s="87">
        <f>IF($H92&lt;='Sales, COGS, Sales Team'!Y$13,$G92,0)</f>
        <v>0</v>
      </c>
      <c r="Z92" s="87">
        <f>IF($H92&lt;='Sales, COGS, Sales Team'!Z$13,$G92,0)</f>
        <v>0</v>
      </c>
      <c r="AA92" s="87">
        <f>IF($H92&lt;='Sales, COGS, Sales Team'!AA$13,$G92,0)</f>
        <v>0</v>
      </c>
      <c r="AB92" s="87">
        <f>IF($H92&lt;='Sales, COGS, Sales Team'!AB$13,$G92,0)</f>
        <v>0</v>
      </c>
      <c r="AC92" s="87">
        <f>IF($H92&lt;='Sales, COGS, Sales Team'!AC$13,$G92,0)</f>
        <v>0</v>
      </c>
      <c r="AD92" s="87">
        <f>IF($H92&lt;='Sales, COGS, Sales Team'!AD$13,$G92,0)</f>
        <v>0</v>
      </c>
      <c r="AE92" s="87">
        <f>IF($H92&lt;='Sales, COGS, Sales Team'!AE$13,$G92,0)</f>
        <v>0</v>
      </c>
      <c r="AF92" s="87">
        <f>IF($H92&lt;='Sales, COGS, Sales Team'!AF$13,$G92,0)</f>
        <v>0</v>
      </c>
      <c r="AG92" s="87">
        <f>IF($H92&lt;='Sales, COGS, Sales Team'!AG$13,$G92,0)</f>
        <v>0</v>
      </c>
      <c r="AH92" s="87">
        <f>IF($H92&lt;='Sales, COGS, Sales Team'!AH$13,$G92,0)</f>
        <v>0</v>
      </c>
      <c r="AI92" s="87">
        <v>20000</v>
      </c>
      <c r="AJ92" s="87">
        <f>IF($H92&lt;='Sales, COGS, Sales Team'!AJ$13,$G92,0)</f>
        <v>0</v>
      </c>
      <c r="AK92" s="87">
        <f>IF($H92&lt;='Sales, COGS, Sales Team'!AK$13,$G92,0)</f>
        <v>0</v>
      </c>
      <c r="AL92" s="87">
        <f>IF($H92&lt;='Sales, COGS, Sales Team'!AL$13,$G92,0)</f>
        <v>0</v>
      </c>
      <c r="AM92" s="87">
        <f>IF($H92&lt;='Sales, COGS, Sales Team'!AM$13,$G92,0)</f>
        <v>0</v>
      </c>
      <c r="AN92" s="87">
        <f>IF($H92&lt;='Sales, COGS, Sales Team'!AN$13,$G92,0)</f>
        <v>0</v>
      </c>
      <c r="AO92" s="87">
        <f>IF($H92&lt;='Sales, COGS, Sales Team'!AO$13,$G92,0)</f>
        <v>0</v>
      </c>
      <c r="AP92" s="87">
        <f>IF($H92&lt;='Sales, COGS, Sales Team'!AP$13,$G92,0)</f>
        <v>0</v>
      </c>
      <c r="AQ92" s="87">
        <f>IF($H92&lt;='Sales, COGS, Sales Team'!AQ$13,$G92,0)</f>
        <v>0</v>
      </c>
      <c r="AR92" s="87">
        <f>IF($H92&lt;='Sales, COGS, Sales Team'!AR$13,$G92,0)</f>
        <v>0</v>
      </c>
      <c r="AS92" s="87">
        <f>IF($H92&lt;='Sales, COGS, Sales Team'!AS$13,$G92,0)</f>
        <v>0</v>
      </c>
      <c r="AT92" s="87">
        <f>IF($H92&lt;='Sales, COGS, Sales Team'!AT$13,$G92,0)</f>
        <v>0</v>
      </c>
      <c r="AU92" s="87">
        <v>20000</v>
      </c>
      <c r="AV92" s="82"/>
      <c r="AW92" s="86">
        <f t="shared" ref="AW92:BD92" si="168">SUMIFS($L92:$AU92,$L$11:$AU$11,"&gt;"&amp;AV$11,$L$11:$AU$11,"&lt;="&amp;AW$11)</f>
        <v>0</v>
      </c>
      <c r="AX92" s="86">
        <f t="shared" si="168"/>
        <v>0</v>
      </c>
      <c r="AY92" s="86">
        <f t="shared" si="168"/>
        <v>0</v>
      </c>
      <c r="AZ92" s="86">
        <f t="shared" si="168"/>
        <v>20000</v>
      </c>
      <c r="BA92" s="86">
        <f t="shared" si="168"/>
        <v>0</v>
      </c>
      <c r="BB92" s="86">
        <f t="shared" si="168"/>
        <v>0</v>
      </c>
      <c r="BC92" s="86">
        <f t="shared" si="168"/>
        <v>0</v>
      </c>
      <c r="BD92" s="86">
        <f t="shared" si="168"/>
        <v>20000</v>
      </c>
      <c r="BE92" s="82"/>
      <c r="BF92" s="24">
        <f t="shared" ref="BF92:BG92" si="169">SUMIFS($AW92:$BD92,$AW$11:$BD$11,"&gt;"&amp;BE$11,$AW$11:$BD$11,"&lt;="&amp;BF$11)</f>
        <v>20000</v>
      </c>
      <c r="BG92" s="24">
        <f t="shared" si="169"/>
        <v>20000</v>
      </c>
      <c r="BH92" s="86"/>
      <c r="BI92" s="86"/>
      <c r="BJ92" s="86"/>
      <c r="BK92" s="82"/>
    </row>
    <row r="93" spans="2:63" hidden="1" outlineLevel="1" x14ac:dyDescent="0.2">
      <c r="B93" s="82"/>
      <c r="C93" s="81" t="s">
        <v>47</v>
      </c>
      <c r="D93" s="82"/>
      <c r="E93" s="82"/>
      <c r="F93" s="88">
        <v>12500</v>
      </c>
      <c r="G93" s="83">
        <f>F93/12</f>
        <v>1041.6666666666667</v>
      </c>
      <c r="H93" s="89">
        <v>45292</v>
      </c>
      <c r="I93" s="89">
        <v>46022</v>
      </c>
      <c r="J93" s="89"/>
      <c r="K93" s="82"/>
      <c r="L93" s="86">
        <f>IF(AND($H93&lt;='Sales, COGS, Sales Team'!L$13,$I93&gt;='Sales, COGS, Sales Team'!L$13),$G93,0)</f>
        <v>0</v>
      </c>
      <c r="M93" s="86">
        <f>IF(AND($H93&lt;='Sales, COGS, Sales Team'!M$13,$I93&gt;='Sales, COGS, Sales Team'!M$13),$G93,0)</f>
        <v>0</v>
      </c>
      <c r="N93" s="86">
        <f>IF(AND($H93&lt;='Sales, COGS, Sales Team'!N$13,$I93&gt;='Sales, COGS, Sales Team'!N$13),$G93,0)</f>
        <v>0</v>
      </c>
      <c r="O93" s="86">
        <f>IF(AND($H93&lt;='Sales, COGS, Sales Team'!O$13,$I93&gt;='Sales, COGS, Sales Team'!O$13),$G93,0)</f>
        <v>0</v>
      </c>
      <c r="P93" s="86">
        <f>IF(AND($H93&lt;='Sales, COGS, Sales Team'!P$13,$I93&gt;='Sales, COGS, Sales Team'!P$13),$G93,0)</f>
        <v>0</v>
      </c>
      <c r="Q93" s="86">
        <f>IF(AND($H93&lt;='Sales, COGS, Sales Team'!Q$13,$I93&gt;='Sales, COGS, Sales Team'!Q$13),$G93,0)</f>
        <v>0</v>
      </c>
      <c r="R93" s="86">
        <f>IF(AND($H93&lt;='Sales, COGS, Sales Team'!R$13,$I93&gt;='Sales, COGS, Sales Team'!R$13),$G93,0)</f>
        <v>0</v>
      </c>
      <c r="S93" s="86">
        <f>IF(AND($H93&lt;='Sales, COGS, Sales Team'!S$13,$I93&gt;='Sales, COGS, Sales Team'!S$13),$G93,0)</f>
        <v>0</v>
      </c>
      <c r="T93" s="86">
        <f>IF(AND($H93&lt;='Sales, COGS, Sales Team'!T$13,$I93&gt;='Sales, COGS, Sales Team'!T$13),$G93,0)</f>
        <v>0</v>
      </c>
      <c r="U93" s="86">
        <f>IF(AND($H93&lt;='Sales, COGS, Sales Team'!U$13,$I93&gt;='Sales, COGS, Sales Team'!U$13),$G93,0)</f>
        <v>0</v>
      </c>
      <c r="V93" s="86">
        <f>IF(AND($H93&lt;='Sales, COGS, Sales Team'!V$13,$I93&gt;='Sales, COGS, Sales Team'!V$13),$G93,0)</f>
        <v>0</v>
      </c>
      <c r="W93" s="86">
        <f>IF(AND($H93&lt;='Sales, COGS, Sales Team'!W$13,$I93&gt;='Sales, COGS, Sales Team'!W$13),$G93,0)</f>
        <v>0</v>
      </c>
      <c r="X93" s="86">
        <f>IF(AND($H93&lt;='Sales, COGS, Sales Team'!X$13,$I93&gt;='Sales, COGS, Sales Team'!X$13),$G93,0)</f>
        <v>1041.6666666666667</v>
      </c>
      <c r="Y93" s="86">
        <f>IF(AND($H93&lt;='Sales, COGS, Sales Team'!Y$13,$I93&gt;='Sales, COGS, Sales Team'!Y$13),$G93,0)</f>
        <v>1041.6666666666667</v>
      </c>
      <c r="Z93" s="86">
        <f>IF(AND($H93&lt;='Sales, COGS, Sales Team'!Z$13,$I93&gt;='Sales, COGS, Sales Team'!Z$13),$G93,0)</f>
        <v>1041.6666666666667</v>
      </c>
      <c r="AA93" s="86">
        <f>IF(AND($H93&lt;='Sales, COGS, Sales Team'!AA$13,$I93&gt;='Sales, COGS, Sales Team'!AA$13),$G93,0)</f>
        <v>1041.6666666666667</v>
      </c>
      <c r="AB93" s="86">
        <f>IF(AND($H93&lt;='Sales, COGS, Sales Team'!AB$13,$I93&gt;='Sales, COGS, Sales Team'!AB$13),$G93,0)</f>
        <v>1041.6666666666667</v>
      </c>
      <c r="AC93" s="86">
        <f>IF(AND($H93&lt;='Sales, COGS, Sales Team'!AC$13,$I93&gt;='Sales, COGS, Sales Team'!AC$13),$G93,0)</f>
        <v>1041.6666666666667</v>
      </c>
      <c r="AD93" s="86">
        <f>IF(AND($H93&lt;='Sales, COGS, Sales Team'!AD$13,$I93&gt;='Sales, COGS, Sales Team'!AD$13),$G93,0)</f>
        <v>1041.6666666666667</v>
      </c>
      <c r="AE93" s="86">
        <f>IF(AND($H93&lt;='Sales, COGS, Sales Team'!AE$13,$I93&gt;='Sales, COGS, Sales Team'!AE$13),$G93,0)</f>
        <v>1041.6666666666667</v>
      </c>
      <c r="AF93" s="86">
        <f>IF(AND($H93&lt;='Sales, COGS, Sales Team'!AF$13,$I93&gt;='Sales, COGS, Sales Team'!AF$13),$G93,0)</f>
        <v>1041.6666666666667</v>
      </c>
      <c r="AG93" s="86">
        <f>IF(AND($H93&lt;='Sales, COGS, Sales Team'!AG$13,$I93&gt;='Sales, COGS, Sales Team'!AG$13),$G93,0)</f>
        <v>1041.6666666666667</v>
      </c>
      <c r="AH93" s="86">
        <f>IF(AND($H93&lt;='Sales, COGS, Sales Team'!AH$13,$I93&gt;='Sales, COGS, Sales Team'!AH$13),$G93,0)</f>
        <v>1041.6666666666667</v>
      </c>
      <c r="AI93" s="86">
        <f>IF(AND($H93&lt;='Sales, COGS, Sales Team'!AI$13,$I93&gt;='Sales, COGS, Sales Team'!AI$13),$G93,0)</f>
        <v>1041.6666666666667</v>
      </c>
      <c r="AJ93" s="86">
        <f>IF(AND($H93&lt;='Sales, COGS, Sales Team'!AJ$13,$I93&gt;='Sales, COGS, Sales Team'!AJ$13),$G93*(1+$G$101),0)</f>
        <v>1145.8333333333335</v>
      </c>
      <c r="AK93" s="86">
        <f>IF(AND($H93&lt;='Sales, COGS, Sales Team'!AK$13,$I93&gt;='Sales, COGS, Sales Team'!AK$13),$G93*(1+$G$101),0)</f>
        <v>1145.8333333333335</v>
      </c>
      <c r="AL93" s="86">
        <f>IF(AND($H93&lt;='Sales, COGS, Sales Team'!AL$13,$I93&gt;='Sales, COGS, Sales Team'!AL$13),$G93*(1+$G$101),0)</f>
        <v>1145.8333333333335</v>
      </c>
      <c r="AM93" s="86">
        <f>IF(AND($H93&lt;='Sales, COGS, Sales Team'!AM$13,$I93&gt;='Sales, COGS, Sales Team'!AM$13),$G93*(1+$G$101),0)</f>
        <v>1145.8333333333335</v>
      </c>
      <c r="AN93" s="86">
        <f>IF(AND($H93&lt;='Sales, COGS, Sales Team'!AN$13,$I93&gt;='Sales, COGS, Sales Team'!AN$13),$G93*(1+$G$101),0)</f>
        <v>1145.8333333333335</v>
      </c>
      <c r="AO93" s="86">
        <f>IF(AND($H93&lt;='Sales, COGS, Sales Team'!AO$13,$I93&gt;='Sales, COGS, Sales Team'!AO$13),$G93*(1+$G$101),0)</f>
        <v>1145.8333333333335</v>
      </c>
      <c r="AP93" s="86">
        <f>IF(AND($H93&lt;='Sales, COGS, Sales Team'!AP$13,$I93&gt;='Sales, COGS, Sales Team'!AP$13),$G93*(1+$G$101),0)</f>
        <v>1145.8333333333335</v>
      </c>
      <c r="AQ93" s="86">
        <f>IF(AND($H93&lt;='Sales, COGS, Sales Team'!AQ$13,$I93&gt;='Sales, COGS, Sales Team'!AQ$13),$G93*(1+$G$101),0)</f>
        <v>1145.8333333333335</v>
      </c>
      <c r="AR93" s="86">
        <f>IF(AND($H93&lt;='Sales, COGS, Sales Team'!AR$13,$I93&gt;='Sales, COGS, Sales Team'!AR$13),$G93*(1+$G$101),0)</f>
        <v>1145.8333333333335</v>
      </c>
      <c r="AS93" s="86">
        <f>IF(AND($H93&lt;='Sales, COGS, Sales Team'!AS$13,$I93&gt;='Sales, COGS, Sales Team'!AS$13),$G93*(1+$G$101),0)</f>
        <v>1145.8333333333335</v>
      </c>
      <c r="AT93" s="86">
        <f>IF(AND($H93&lt;='Sales, COGS, Sales Team'!AT$13,$I93&gt;='Sales, COGS, Sales Team'!AT$13),$G93*(1+$G$101),0)</f>
        <v>1145.8333333333335</v>
      </c>
      <c r="AU93" s="86">
        <f>IF(AND($H93&lt;='Sales, COGS, Sales Team'!AU$13,$I93&gt;='Sales, COGS, Sales Team'!AU$13),$G93*(1+$G$101),0)</f>
        <v>1145.8333333333335</v>
      </c>
      <c r="AV93" s="82"/>
      <c r="AW93" s="86">
        <f t="shared" ref="AW93:BD93" si="170">SUMIFS($L93:$AU93,$L$11:$AU$11,"&gt;"&amp;AV$11,$L$11:$AU$11,"&lt;="&amp;AW$11)</f>
        <v>3125</v>
      </c>
      <c r="AX93" s="86">
        <f t="shared" si="170"/>
        <v>3125</v>
      </c>
      <c r="AY93" s="86">
        <f t="shared" si="170"/>
        <v>3125</v>
      </c>
      <c r="AZ93" s="86">
        <f t="shared" si="170"/>
        <v>3125</v>
      </c>
      <c r="BA93" s="86">
        <f t="shared" si="170"/>
        <v>3437.5000000000005</v>
      </c>
      <c r="BB93" s="86">
        <f t="shared" si="170"/>
        <v>3437.5000000000005</v>
      </c>
      <c r="BC93" s="86">
        <f t="shared" si="170"/>
        <v>3437.5000000000005</v>
      </c>
      <c r="BD93" s="86">
        <f t="shared" si="170"/>
        <v>3437.5000000000005</v>
      </c>
      <c r="BE93" s="82"/>
      <c r="BF93" s="24">
        <f t="shared" ref="BF93:BG93" si="171">SUMIFS($AW93:$BD93,$AW$11:$BD$11,"&gt;"&amp;BE$11,$AW$11:$BD$11,"&lt;="&amp;BF$11)</f>
        <v>12500</v>
      </c>
      <c r="BG93" s="24">
        <f t="shared" si="171"/>
        <v>13750.000000000002</v>
      </c>
      <c r="BH93" s="86"/>
      <c r="BI93" s="86"/>
      <c r="BJ93" s="86"/>
      <c r="BK93" s="82"/>
    </row>
    <row r="94" spans="2:63" hidden="1" outlineLevel="1" x14ac:dyDescent="0.2">
      <c r="B94" s="82"/>
      <c r="C94" s="81" t="s">
        <v>48</v>
      </c>
      <c r="D94" s="82"/>
      <c r="E94" s="82"/>
      <c r="F94" s="88">
        <v>7500</v>
      </c>
      <c r="G94" s="83">
        <f>F94/12</f>
        <v>625</v>
      </c>
      <c r="H94" s="89">
        <v>45292</v>
      </c>
      <c r="I94" s="89">
        <v>46022</v>
      </c>
      <c r="J94" s="89"/>
      <c r="K94" s="82"/>
      <c r="L94" s="86">
        <f>IF(AND($H94&lt;='Sales, COGS, Sales Team'!L$13,$I94&gt;='Sales, COGS, Sales Team'!L$13),$G94,0)</f>
        <v>0</v>
      </c>
      <c r="M94" s="86">
        <f>IF(AND($H94&lt;='Sales, COGS, Sales Team'!M$13,$I94&gt;='Sales, COGS, Sales Team'!M$13),$G94,0)</f>
        <v>0</v>
      </c>
      <c r="N94" s="86">
        <f>IF(AND($H94&lt;='Sales, COGS, Sales Team'!N$13,$I94&gt;='Sales, COGS, Sales Team'!N$13),$G94,0)</f>
        <v>0</v>
      </c>
      <c r="O94" s="86">
        <f>IF(AND($H94&lt;='Sales, COGS, Sales Team'!O$13,$I94&gt;='Sales, COGS, Sales Team'!O$13),$G94,0)</f>
        <v>0</v>
      </c>
      <c r="P94" s="86">
        <f>IF(AND($H94&lt;='Sales, COGS, Sales Team'!P$13,$I94&gt;='Sales, COGS, Sales Team'!P$13),$G94,0)</f>
        <v>0</v>
      </c>
      <c r="Q94" s="86">
        <f>IF(AND($H94&lt;='Sales, COGS, Sales Team'!Q$13,$I94&gt;='Sales, COGS, Sales Team'!Q$13),$G94,0)</f>
        <v>0</v>
      </c>
      <c r="R94" s="86">
        <f>IF(AND($H94&lt;='Sales, COGS, Sales Team'!R$13,$I94&gt;='Sales, COGS, Sales Team'!R$13),$G94,0)</f>
        <v>0</v>
      </c>
      <c r="S94" s="86">
        <f>IF(AND($H94&lt;='Sales, COGS, Sales Team'!S$13,$I94&gt;='Sales, COGS, Sales Team'!S$13),$G94,0)</f>
        <v>0</v>
      </c>
      <c r="T94" s="86">
        <f>IF(AND($H94&lt;='Sales, COGS, Sales Team'!T$13,$I94&gt;='Sales, COGS, Sales Team'!T$13),$G94,0)</f>
        <v>0</v>
      </c>
      <c r="U94" s="86">
        <f>IF(AND($H94&lt;='Sales, COGS, Sales Team'!U$13,$I94&gt;='Sales, COGS, Sales Team'!U$13),$G94,0)</f>
        <v>0</v>
      </c>
      <c r="V94" s="86">
        <f>IF(AND($H94&lt;='Sales, COGS, Sales Team'!V$13,$I94&gt;='Sales, COGS, Sales Team'!V$13),$G94,0)</f>
        <v>0</v>
      </c>
      <c r="W94" s="86">
        <f>IF(AND($H94&lt;='Sales, COGS, Sales Team'!W$13,$I94&gt;='Sales, COGS, Sales Team'!W$13),$G94,0)</f>
        <v>0</v>
      </c>
      <c r="X94" s="86">
        <f>IF(AND($H94&lt;='Sales, COGS, Sales Team'!X$13,$I94&gt;='Sales, COGS, Sales Team'!X$13),$G94,0)</f>
        <v>625</v>
      </c>
      <c r="Y94" s="86">
        <f>IF(AND($H94&lt;='Sales, COGS, Sales Team'!Y$13,$I94&gt;='Sales, COGS, Sales Team'!Y$13),$G94,0)</f>
        <v>625</v>
      </c>
      <c r="Z94" s="86">
        <f>IF(AND($H94&lt;='Sales, COGS, Sales Team'!Z$13,$I94&gt;='Sales, COGS, Sales Team'!Z$13),$G94,0)</f>
        <v>625</v>
      </c>
      <c r="AA94" s="86">
        <f>IF(AND($H94&lt;='Sales, COGS, Sales Team'!AA$13,$I94&gt;='Sales, COGS, Sales Team'!AA$13),$G94,0)</f>
        <v>625</v>
      </c>
      <c r="AB94" s="86">
        <f>IF(AND($H94&lt;='Sales, COGS, Sales Team'!AB$13,$I94&gt;='Sales, COGS, Sales Team'!AB$13),$G94,0)</f>
        <v>625</v>
      </c>
      <c r="AC94" s="86">
        <f>IF(AND($H94&lt;='Sales, COGS, Sales Team'!AC$13,$I94&gt;='Sales, COGS, Sales Team'!AC$13),$G94,0)</f>
        <v>625</v>
      </c>
      <c r="AD94" s="86">
        <f>IF(AND($H94&lt;='Sales, COGS, Sales Team'!AD$13,$I94&gt;='Sales, COGS, Sales Team'!AD$13),$G94,0)</f>
        <v>625</v>
      </c>
      <c r="AE94" s="86">
        <f>IF(AND($H94&lt;='Sales, COGS, Sales Team'!AE$13,$I94&gt;='Sales, COGS, Sales Team'!AE$13),$G94,0)</f>
        <v>625</v>
      </c>
      <c r="AF94" s="86">
        <f>IF(AND($H94&lt;='Sales, COGS, Sales Team'!AF$13,$I94&gt;='Sales, COGS, Sales Team'!AF$13),$G94,0)</f>
        <v>625</v>
      </c>
      <c r="AG94" s="86">
        <f>IF(AND($H94&lt;='Sales, COGS, Sales Team'!AG$13,$I94&gt;='Sales, COGS, Sales Team'!AG$13),$G94,0)</f>
        <v>625</v>
      </c>
      <c r="AH94" s="86">
        <f>IF(AND($H94&lt;='Sales, COGS, Sales Team'!AH$13,$I94&gt;='Sales, COGS, Sales Team'!AH$13),$G94,0)</f>
        <v>625</v>
      </c>
      <c r="AI94" s="86">
        <f>IF(AND($H94&lt;='Sales, COGS, Sales Team'!AI$13,$I94&gt;='Sales, COGS, Sales Team'!AI$13),$G94,0)</f>
        <v>625</v>
      </c>
      <c r="AJ94" s="86">
        <f>IF(AND($H94&lt;='Sales, COGS, Sales Team'!AJ$13,$I94&gt;='Sales, COGS, Sales Team'!AJ$13),$G94*(1+$G$101),0)</f>
        <v>687.5</v>
      </c>
      <c r="AK94" s="86">
        <f>IF(AND($H94&lt;='Sales, COGS, Sales Team'!AK$13,$I94&gt;='Sales, COGS, Sales Team'!AK$13),$G94*(1+$G$101),0)</f>
        <v>687.5</v>
      </c>
      <c r="AL94" s="86">
        <f>IF(AND($H94&lt;='Sales, COGS, Sales Team'!AL$13,$I94&gt;='Sales, COGS, Sales Team'!AL$13),$G94*(1+$G$101),0)</f>
        <v>687.5</v>
      </c>
      <c r="AM94" s="86">
        <f>IF(AND($H94&lt;='Sales, COGS, Sales Team'!AM$13,$I94&gt;='Sales, COGS, Sales Team'!AM$13),$G94*(1+$G$101),0)</f>
        <v>687.5</v>
      </c>
      <c r="AN94" s="86">
        <f>IF(AND($H94&lt;='Sales, COGS, Sales Team'!AN$13,$I94&gt;='Sales, COGS, Sales Team'!AN$13),$G94*(1+$G$101),0)</f>
        <v>687.5</v>
      </c>
      <c r="AO94" s="86">
        <f>IF(AND($H94&lt;='Sales, COGS, Sales Team'!AO$13,$I94&gt;='Sales, COGS, Sales Team'!AO$13),$G94*(1+$G$101),0)</f>
        <v>687.5</v>
      </c>
      <c r="AP94" s="86">
        <f>IF(AND($H94&lt;='Sales, COGS, Sales Team'!AP$13,$I94&gt;='Sales, COGS, Sales Team'!AP$13),$G94*(1+$G$101),0)</f>
        <v>687.5</v>
      </c>
      <c r="AQ94" s="86">
        <f>IF(AND($H94&lt;='Sales, COGS, Sales Team'!AQ$13,$I94&gt;='Sales, COGS, Sales Team'!AQ$13),$G94*(1+$G$101),0)</f>
        <v>687.5</v>
      </c>
      <c r="AR94" s="86">
        <f>IF(AND($H94&lt;='Sales, COGS, Sales Team'!AR$13,$I94&gt;='Sales, COGS, Sales Team'!AR$13),$G94*(1+$G$101),0)</f>
        <v>687.5</v>
      </c>
      <c r="AS94" s="86">
        <f>IF(AND($H94&lt;='Sales, COGS, Sales Team'!AS$13,$I94&gt;='Sales, COGS, Sales Team'!AS$13),$G94*(1+$G$101),0)</f>
        <v>687.5</v>
      </c>
      <c r="AT94" s="86">
        <f>IF(AND($H94&lt;='Sales, COGS, Sales Team'!AT$13,$I94&gt;='Sales, COGS, Sales Team'!AT$13),$G94*(1+$G$101),0)</f>
        <v>687.5</v>
      </c>
      <c r="AU94" s="86">
        <f>IF(AND($H94&lt;='Sales, COGS, Sales Team'!AU$13,$I94&gt;='Sales, COGS, Sales Team'!AU$13),$G94*(1+$G$101),0)</f>
        <v>687.5</v>
      </c>
      <c r="AV94" s="82"/>
      <c r="AW94" s="86">
        <f t="shared" ref="AW94:BD94" si="172">SUMIFS($L94:$AU94,$L$11:$AU$11,"&gt;"&amp;AV$11,$L$11:$AU$11,"&lt;="&amp;AW$11)</f>
        <v>1875</v>
      </c>
      <c r="AX94" s="86">
        <f t="shared" si="172"/>
        <v>1875</v>
      </c>
      <c r="AY94" s="86">
        <f t="shared" si="172"/>
        <v>1875</v>
      </c>
      <c r="AZ94" s="86">
        <f t="shared" si="172"/>
        <v>1875</v>
      </c>
      <c r="BA94" s="86">
        <f t="shared" si="172"/>
        <v>2062.5</v>
      </c>
      <c r="BB94" s="86">
        <f t="shared" si="172"/>
        <v>2062.5</v>
      </c>
      <c r="BC94" s="86">
        <f t="shared" si="172"/>
        <v>2062.5</v>
      </c>
      <c r="BD94" s="86">
        <f t="shared" si="172"/>
        <v>2062.5</v>
      </c>
      <c r="BE94" s="82"/>
      <c r="BF94" s="24">
        <f t="shared" ref="BF94:BG94" si="173">SUMIFS($AW94:$BD94,$AW$11:$BD$11,"&gt;"&amp;BE$11,$AW$11:$BD$11,"&lt;="&amp;BF$11)</f>
        <v>7500</v>
      </c>
      <c r="BG94" s="24">
        <f t="shared" si="173"/>
        <v>8250</v>
      </c>
      <c r="BH94" s="86"/>
      <c r="BI94" s="86"/>
      <c r="BJ94" s="86"/>
      <c r="BK94" s="82"/>
    </row>
    <row r="95" spans="2:63" hidden="1" outlineLevel="1" x14ac:dyDescent="0.2">
      <c r="B95" s="82"/>
      <c r="C95" s="81" t="s">
        <v>49</v>
      </c>
      <c r="D95" s="82"/>
      <c r="E95" s="82"/>
      <c r="F95" s="88">
        <v>3750</v>
      </c>
      <c r="G95" s="83">
        <f>F95/12</f>
        <v>312.5</v>
      </c>
      <c r="H95" s="89">
        <v>45292</v>
      </c>
      <c r="I95" s="89">
        <v>46022</v>
      </c>
      <c r="J95" s="89"/>
      <c r="K95" s="82"/>
      <c r="L95" s="86">
        <f>IF(AND($H95&lt;='Sales, COGS, Sales Team'!L$13,$I95&gt;='Sales, COGS, Sales Team'!L$13),$G95,0)</f>
        <v>0</v>
      </c>
      <c r="M95" s="86">
        <f>IF(AND($H95&lt;='Sales, COGS, Sales Team'!M$13,$I95&gt;='Sales, COGS, Sales Team'!M$13),$G95,0)</f>
        <v>0</v>
      </c>
      <c r="N95" s="86">
        <f>IF(AND($H95&lt;='Sales, COGS, Sales Team'!N$13,$I95&gt;='Sales, COGS, Sales Team'!N$13),$G95,0)</f>
        <v>0</v>
      </c>
      <c r="O95" s="86">
        <f>IF(AND($H95&lt;='Sales, COGS, Sales Team'!O$13,$I95&gt;='Sales, COGS, Sales Team'!O$13),$G95,0)</f>
        <v>0</v>
      </c>
      <c r="P95" s="86">
        <f>IF(AND($H95&lt;='Sales, COGS, Sales Team'!P$13,$I95&gt;='Sales, COGS, Sales Team'!P$13),$G95,0)</f>
        <v>0</v>
      </c>
      <c r="Q95" s="86">
        <f>IF(AND($H95&lt;='Sales, COGS, Sales Team'!Q$13,$I95&gt;='Sales, COGS, Sales Team'!Q$13),$G95,0)</f>
        <v>0</v>
      </c>
      <c r="R95" s="86">
        <f>IF(AND($H95&lt;='Sales, COGS, Sales Team'!R$13,$I95&gt;='Sales, COGS, Sales Team'!R$13),$G95,0)</f>
        <v>0</v>
      </c>
      <c r="S95" s="86">
        <f>IF(AND($H95&lt;='Sales, COGS, Sales Team'!S$13,$I95&gt;='Sales, COGS, Sales Team'!S$13),$G95,0)</f>
        <v>0</v>
      </c>
      <c r="T95" s="86">
        <f>IF(AND($H95&lt;='Sales, COGS, Sales Team'!T$13,$I95&gt;='Sales, COGS, Sales Team'!T$13),$G95,0)</f>
        <v>0</v>
      </c>
      <c r="U95" s="86">
        <f>IF(AND($H95&lt;='Sales, COGS, Sales Team'!U$13,$I95&gt;='Sales, COGS, Sales Team'!U$13),$G95,0)</f>
        <v>0</v>
      </c>
      <c r="V95" s="86">
        <f>IF(AND($H95&lt;='Sales, COGS, Sales Team'!V$13,$I95&gt;='Sales, COGS, Sales Team'!V$13),$G95,0)</f>
        <v>0</v>
      </c>
      <c r="W95" s="86">
        <f>IF(AND($H95&lt;='Sales, COGS, Sales Team'!W$13,$I95&gt;='Sales, COGS, Sales Team'!W$13),$G95,0)</f>
        <v>0</v>
      </c>
      <c r="X95" s="86">
        <f>IF(AND($H95&lt;='Sales, COGS, Sales Team'!X$13,$I95&gt;='Sales, COGS, Sales Team'!X$13),$G95,0)</f>
        <v>312.5</v>
      </c>
      <c r="Y95" s="86">
        <f>IF(AND($H95&lt;='Sales, COGS, Sales Team'!Y$13,$I95&gt;='Sales, COGS, Sales Team'!Y$13),$G95,0)</f>
        <v>312.5</v>
      </c>
      <c r="Z95" s="86">
        <f>IF(AND($H95&lt;='Sales, COGS, Sales Team'!Z$13,$I95&gt;='Sales, COGS, Sales Team'!Z$13),$G95,0)</f>
        <v>312.5</v>
      </c>
      <c r="AA95" s="86">
        <f>IF(AND($H95&lt;='Sales, COGS, Sales Team'!AA$13,$I95&gt;='Sales, COGS, Sales Team'!AA$13),$G95,0)</f>
        <v>312.5</v>
      </c>
      <c r="AB95" s="86">
        <f>IF(AND($H95&lt;='Sales, COGS, Sales Team'!AB$13,$I95&gt;='Sales, COGS, Sales Team'!AB$13),$G95,0)</f>
        <v>312.5</v>
      </c>
      <c r="AC95" s="86">
        <f>IF(AND($H95&lt;='Sales, COGS, Sales Team'!AC$13,$I95&gt;='Sales, COGS, Sales Team'!AC$13),$G95,0)</f>
        <v>312.5</v>
      </c>
      <c r="AD95" s="86">
        <f>IF(AND($H95&lt;='Sales, COGS, Sales Team'!AD$13,$I95&gt;='Sales, COGS, Sales Team'!AD$13),$G95,0)</f>
        <v>312.5</v>
      </c>
      <c r="AE95" s="86">
        <f>IF(AND($H95&lt;='Sales, COGS, Sales Team'!AE$13,$I95&gt;='Sales, COGS, Sales Team'!AE$13),$G95,0)</f>
        <v>312.5</v>
      </c>
      <c r="AF95" s="86">
        <f>IF(AND($H95&lt;='Sales, COGS, Sales Team'!AF$13,$I95&gt;='Sales, COGS, Sales Team'!AF$13),$G95,0)</f>
        <v>312.5</v>
      </c>
      <c r="AG95" s="86">
        <f>IF(AND($H95&lt;='Sales, COGS, Sales Team'!AG$13,$I95&gt;='Sales, COGS, Sales Team'!AG$13),$G95,0)</f>
        <v>312.5</v>
      </c>
      <c r="AH95" s="86">
        <f>IF(AND($H95&lt;='Sales, COGS, Sales Team'!AH$13,$I95&gt;='Sales, COGS, Sales Team'!AH$13),$G95,0)</f>
        <v>312.5</v>
      </c>
      <c r="AI95" s="86">
        <f>IF(AND($H95&lt;='Sales, COGS, Sales Team'!AI$13,$I95&gt;='Sales, COGS, Sales Team'!AI$13),$G95,0)</f>
        <v>312.5</v>
      </c>
      <c r="AJ95" s="86">
        <f>IF(AND($H95&lt;='Sales, COGS, Sales Team'!AJ$13,$I95&gt;='Sales, COGS, Sales Team'!AJ$13),$G95*(1+$G$101),0)</f>
        <v>343.75</v>
      </c>
      <c r="AK95" s="86">
        <f>IF(AND($H95&lt;='Sales, COGS, Sales Team'!AK$13,$I95&gt;='Sales, COGS, Sales Team'!AK$13),$G95*(1+$G$101),0)</f>
        <v>343.75</v>
      </c>
      <c r="AL95" s="86">
        <f>IF(AND($H95&lt;='Sales, COGS, Sales Team'!AL$13,$I95&gt;='Sales, COGS, Sales Team'!AL$13),$G95*(1+$G$101),0)</f>
        <v>343.75</v>
      </c>
      <c r="AM95" s="86">
        <f>IF(AND($H95&lt;='Sales, COGS, Sales Team'!AM$13,$I95&gt;='Sales, COGS, Sales Team'!AM$13),$G95*(1+$G$101),0)</f>
        <v>343.75</v>
      </c>
      <c r="AN95" s="86">
        <f>IF(AND($H95&lt;='Sales, COGS, Sales Team'!AN$13,$I95&gt;='Sales, COGS, Sales Team'!AN$13),$G95*(1+$G$101),0)</f>
        <v>343.75</v>
      </c>
      <c r="AO95" s="86">
        <f>IF(AND($H95&lt;='Sales, COGS, Sales Team'!AO$13,$I95&gt;='Sales, COGS, Sales Team'!AO$13),$G95*(1+$G$101),0)</f>
        <v>343.75</v>
      </c>
      <c r="AP95" s="86">
        <f>IF(AND($H95&lt;='Sales, COGS, Sales Team'!AP$13,$I95&gt;='Sales, COGS, Sales Team'!AP$13),$G95*(1+$G$101),0)</f>
        <v>343.75</v>
      </c>
      <c r="AQ95" s="86">
        <f>IF(AND($H95&lt;='Sales, COGS, Sales Team'!AQ$13,$I95&gt;='Sales, COGS, Sales Team'!AQ$13),$G95*(1+$G$101),0)</f>
        <v>343.75</v>
      </c>
      <c r="AR95" s="86">
        <f>IF(AND($H95&lt;='Sales, COGS, Sales Team'!AR$13,$I95&gt;='Sales, COGS, Sales Team'!AR$13),$G95*(1+$G$101),0)</f>
        <v>343.75</v>
      </c>
      <c r="AS95" s="86">
        <f>IF(AND($H95&lt;='Sales, COGS, Sales Team'!AS$13,$I95&gt;='Sales, COGS, Sales Team'!AS$13),$G95*(1+$G$101),0)</f>
        <v>343.75</v>
      </c>
      <c r="AT95" s="86">
        <f>IF(AND($H95&lt;='Sales, COGS, Sales Team'!AT$13,$I95&gt;='Sales, COGS, Sales Team'!AT$13),$G95*(1+$G$101),0)</f>
        <v>343.75</v>
      </c>
      <c r="AU95" s="86">
        <f>IF(AND($H95&lt;='Sales, COGS, Sales Team'!AU$13,$I95&gt;='Sales, COGS, Sales Team'!AU$13),$G95*(1+$G$101),0)</f>
        <v>343.75</v>
      </c>
      <c r="AV95" s="82"/>
      <c r="AW95" s="86">
        <f t="shared" ref="AW95:BD95" si="174">SUMIFS($L95:$AU95,$L$11:$AU$11,"&gt;"&amp;AV$11,$L$11:$AU$11,"&lt;="&amp;AW$11)</f>
        <v>937.5</v>
      </c>
      <c r="AX95" s="86">
        <f t="shared" si="174"/>
        <v>937.5</v>
      </c>
      <c r="AY95" s="86">
        <f t="shared" si="174"/>
        <v>937.5</v>
      </c>
      <c r="AZ95" s="86">
        <f t="shared" si="174"/>
        <v>937.5</v>
      </c>
      <c r="BA95" s="86">
        <f t="shared" si="174"/>
        <v>1031.25</v>
      </c>
      <c r="BB95" s="86">
        <f t="shared" si="174"/>
        <v>1031.25</v>
      </c>
      <c r="BC95" s="86">
        <f t="shared" si="174"/>
        <v>1031.25</v>
      </c>
      <c r="BD95" s="86">
        <f t="shared" si="174"/>
        <v>1031.25</v>
      </c>
      <c r="BE95" s="82"/>
      <c r="BF95" s="24">
        <f t="shared" ref="BF95:BG95" si="175">SUMIFS($AW95:$BD95,$AW$11:$BD$11,"&gt;"&amp;BE$11,$AW$11:$BD$11,"&lt;="&amp;BF$11)</f>
        <v>3750</v>
      </c>
      <c r="BG95" s="24">
        <f t="shared" si="175"/>
        <v>4125</v>
      </c>
      <c r="BH95" s="86"/>
      <c r="BI95" s="86"/>
      <c r="BJ95" s="86"/>
      <c r="BK95" s="82"/>
    </row>
    <row r="96" spans="2:63" hidden="1" outlineLevel="1" x14ac:dyDescent="0.2">
      <c r="B96" s="82"/>
      <c r="C96" s="81" t="s">
        <v>73</v>
      </c>
      <c r="D96" s="82"/>
      <c r="E96" s="82"/>
      <c r="F96" s="83"/>
      <c r="G96" s="83"/>
      <c r="H96" s="84"/>
      <c r="I96" s="85"/>
      <c r="J96" s="85"/>
      <c r="K96" s="82"/>
      <c r="L96" s="86">
        <f>IF($H96&lt;='Sales, COGS, Sales Team'!L$13,$G96,0)</f>
        <v>0</v>
      </c>
      <c r="M96" s="86">
        <f>IF($H96&lt;='Sales, COGS, Sales Team'!M$13,$G96,0)</f>
        <v>0</v>
      </c>
      <c r="N96" s="86">
        <f>IF($H96&lt;='Sales, COGS, Sales Team'!N$13,$G96,0)</f>
        <v>0</v>
      </c>
      <c r="O96" s="86">
        <f>IF($H96&lt;='Sales, COGS, Sales Team'!O$13,$G96,0)</f>
        <v>0</v>
      </c>
      <c r="P96" s="86">
        <f>IF($H96&lt;='Sales, COGS, Sales Team'!P$13,$G96,0)</f>
        <v>0</v>
      </c>
      <c r="Q96" s="86">
        <f>IF($H96&lt;='Sales, COGS, Sales Team'!Q$13,$G96,0)</f>
        <v>0</v>
      </c>
      <c r="R96" s="86">
        <f>IF($H96&lt;='Sales, COGS, Sales Team'!R$13,$G96,0)</f>
        <v>0</v>
      </c>
      <c r="S96" s="86">
        <f>IF($H96&lt;='Sales, COGS, Sales Team'!S$13,$G96,0)</f>
        <v>0</v>
      </c>
      <c r="T96" s="86">
        <f>IF($H96&lt;='Sales, COGS, Sales Team'!T$13,$G96,0)</f>
        <v>0</v>
      </c>
      <c r="U96" s="86">
        <f>IF($H96&lt;='Sales, COGS, Sales Team'!U$13,$G96,0)</f>
        <v>0</v>
      </c>
      <c r="V96" s="86">
        <f>IF($H96&lt;='Sales, COGS, Sales Team'!V$13,$G96,0)</f>
        <v>0</v>
      </c>
      <c r="W96" s="86">
        <f>IF($H96&lt;='Sales, COGS, Sales Team'!W$13,$G96,0)</f>
        <v>0</v>
      </c>
      <c r="X96" s="86">
        <f>IF($H96&lt;='Sales, COGS, Sales Team'!X$13,$G96,0)</f>
        <v>0</v>
      </c>
      <c r="Y96" s="86">
        <f>IF($H96&lt;='Sales, COGS, Sales Team'!Y$13,$G96,0)</f>
        <v>0</v>
      </c>
      <c r="Z96" s="87">
        <v>10000</v>
      </c>
      <c r="AA96" s="86">
        <f>IF($H96&lt;='Sales, COGS, Sales Team'!AA$13,$G96,0)</f>
        <v>0</v>
      </c>
      <c r="AB96" s="86">
        <f>IF($H96&lt;='Sales, COGS, Sales Team'!AB$13,$G96,0)</f>
        <v>0</v>
      </c>
      <c r="AC96" s="86">
        <f>IF($H96&lt;='Sales, COGS, Sales Team'!AC$13,$G96,0)</f>
        <v>0</v>
      </c>
      <c r="AD96" s="86">
        <f>IF($H96&lt;='Sales, COGS, Sales Team'!AD$13,$G96,0)</f>
        <v>0</v>
      </c>
      <c r="AE96" s="86">
        <f>IF($H96&lt;='Sales, COGS, Sales Team'!AE$13,$G96,0)</f>
        <v>0</v>
      </c>
      <c r="AF96" s="86">
        <f>IF($H96&lt;='Sales, COGS, Sales Team'!AF$13,$G96,0)</f>
        <v>0</v>
      </c>
      <c r="AG96" s="86">
        <f>IF($H96&lt;='Sales, COGS, Sales Team'!AG$13,$G96,0)</f>
        <v>0</v>
      </c>
      <c r="AH96" s="86">
        <f>IF($H96&lt;='Sales, COGS, Sales Team'!AH$13,$G96,0)</f>
        <v>0</v>
      </c>
      <c r="AI96" s="86">
        <f>IF($H96&lt;='Sales, COGS, Sales Team'!AI$13,$G96,0)</f>
        <v>0</v>
      </c>
      <c r="AJ96" s="86">
        <f>IF($H96&lt;='Sales, COGS, Sales Team'!AJ$13,$G96,0)</f>
        <v>0</v>
      </c>
      <c r="AK96" s="86">
        <f>IF($H96&lt;='Sales, COGS, Sales Team'!AK$13,$G96,0)</f>
        <v>0</v>
      </c>
      <c r="AL96" s="87">
        <v>10000</v>
      </c>
      <c r="AM96" s="86">
        <f>IF($H96&lt;='Sales, COGS, Sales Team'!AM$13,$G96,0)</f>
        <v>0</v>
      </c>
      <c r="AN96" s="86">
        <f>IF($H96&lt;='Sales, COGS, Sales Team'!AN$13,$G96,0)</f>
        <v>0</v>
      </c>
      <c r="AO96" s="86">
        <f>IF($H96&lt;='Sales, COGS, Sales Team'!AO$13,$G96,0)</f>
        <v>0</v>
      </c>
      <c r="AP96" s="86">
        <f>IF($H96&lt;='Sales, COGS, Sales Team'!AP$13,$G96,0)</f>
        <v>0</v>
      </c>
      <c r="AQ96" s="86">
        <f>IF($H96&lt;='Sales, COGS, Sales Team'!AQ$13,$G96,0)</f>
        <v>0</v>
      </c>
      <c r="AR96" s="86">
        <f>IF($H96&lt;='Sales, COGS, Sales Team'!AR$13,$G96,0)</f>
        <v>0</v>
      </c>
      <c r="AS96" s="86">
        <f>IF($H96&lt;='Sales, COGS, Sales Team'!AS$13,$G96,0)</f>
        <v>0</v>
      </c>
      <c r="AT96" s="86">
        <f>IF($H96&lt;='Sales, COGS, Sales Team'!AT$13,$G96,0)</f>
        <v>0</v>
      </c>
      <c r="AU96" s="86">
        <f>IF($H96&lt;='Sales, COGS, Sales Team'!AU$13,$G96,0)</f>
        <v>0</v>
      </c>
      <c r="AV96" s="82"/>
      <c r="AW96" s="86">
        <f t="shared" ref="AW96:BD96" si="176">SUMIFS($L96:$AU96,$L$11:$AU$11,"&gt;"&amp;AV$11,$L$11:$AU$11,"&lt;="&amp;AW$11)</f>
        <v>10000</v>
      </c>
      <c r="AX96" s="86">
        <f t="shared" si="176"/>
        <v>0</v>
      </c>
      <c r="AY96" s="86">
        <f t="shared" si="176"/>
        <v>0</v>
      </c>
      <c r="AZ96" s="86">
        <f t="shared" si="176"/>
        <v>0</v>
      </c>
      <c r="BA96" s="86">
        <f t="shared" si="176"/>
        <v>10000</v>
      </c>
      <c r="BB96" s="86">
        <f t="shared" si="176"/>
        <v>0</v>
      </c>
      <c r="BC96" s="86">
        <f t="shared" si="176"/>
        <v>0</v>
      </c>
      <c r="BD96" s="86">
        <f t="shared" si="176"/>
        <v>0</v>
      </c>
      <c r="BE96" s="82"/>
      <c r="BF96" s="24">
        <f t="shared" ref="BF96:BG96" si="177">SUMIFS($AW96:$BD96,$AW$11:$BD$11,"&gt;"&amp;BE$11,$AW$11:$BD$11,"&lt;="&amp;BF$11)</f>
        <v>10000</v>
      </c>
      <c r="BG96" s="24">
        <f t="shared" si="177"/>
        <v>10000</v>
      </c>
      <c r="BH96" s="86"/>
      <c r="BI96" s="86"/>
      <c r="BJ96" s="86"/>
      <c r="BK96" s="82"/>
    </row>
    <row r="97" spans="2:63" hidden="1" outlineLevel="1" x14ac:dyDescent="0.2">
      <c r="B97" s="82"/>
      <c r="C97" s="81" t="s">
        <v>50</v>
      </c>
      <c r="D97" s="82"/>
      <c r="E97" s="82"/>
      <c r="F97" s="83"/>
      <c r="G97" s="83"/>
      <c r="H97" s="84"/>
      <c r="I97" s="85"/>
      <c r="J97" s="85"/>
      <c r="K97" s="82"/>
      <c r="L97" s="86">
        <f>IF($H97&lt;='Sales, COGS, Sales Team'!L$13,$G97,0)</f>
        <v>0</v>
      </c>
      <c r="M97" s="86">
        <f>IF($H97&lt;='Sales, COGS, Sales Team'!M$13,$G97,0)</f>
        <v>0</v>
      </c>
      <c r="N97" s="86">
        <f>IF($H97&lt;='Sales, COGS, Sales Team'!N$13,$G97,0)</f>
        <v>0</v>
      </c>
      <c r="O97" s="86">
        <f>IF($H97&lt;='Sales, COGS, Sales Team'!O$13,$G97,0)</f>
        <v>0</v>
      </c>
      <c r="P97" s="86">
        <f>IF($H97&lt;='Sales, COGS, Sales Team'!P$13,$G97,0)</f>
        <v>0</v>
      </c>
      <c r="Q97" s="86">
        <f>IF($H97&lt;='Sales, COGS, Sales Team'!Q$13,$G97,0)</f>
        <v>0</v>
      </c>
      <c r="R97" s="86">
        <f>IF($H97&lt;='Sales, COGS, Sales Team'!R$13,$G97,0)</f>
        <v>0</v>
      </c>
      <c r="S97" s="86">
        <f>IF($H97&lt;='Sales, COGS, Sales Team'!S$13,$G97,0)</f>
        <v>0</v>
      </c>
      <c r="T97" s="86">
        <f>IF($H97&lt;='Sales, COGS, Sales Team'!T$13,$G97,0)</f>
        <v>0</v>
      </c>
      <c r="U97" s="86">
        <f>IF($H97&lt;='Sales, COGS, Sales Team'!U$13,$G97,0)</f>
        <v>0</v>
      </c>
      <c r="V97" s="86">
        <f>IF($H97&lt;='Sales, COGS, Sales Team'!V$13,$G97,0)</f>
        <v>0</v>
      </c>
      <c r="W97" s="86">
        <f>IF($H97&lt;='Sales, COGS, Sales Team'!W$13,$G97,0)</f>
        <v>0</v>
      </c>
      <c r="X97" s="86">
        <f>IF($H97&lt;='Sales, COGS, Sales Team'!X$13,$G97,0)</f>
        <v>0</v>
      </c>
      <c r="Y97" s="86">
        <f>IF($H97&lt;='Sales, COGS, Sales Team'!Y$13,$G97,0)</f>
        <v>0</v>
      </c>
      <c r="Z97" s="86">
        <f>IF($H97&lt;='Sales, COGS, Sales Team'!Z$13,$G97,0)</f>
        <v>0</v>
      </c>
      <c r="AA97" s="86">
        <f>IF($H97&lt;='Sales, COGS, Sales Team'!AA$13,$G97,0)</f>
        <v>0</v>
      </c>
      <c r="AB97" s="86">
        <f>IF($H97&lt;='Sales, COGS, Sales Team'!AB$13,$G97,0)</f>
        <v>0</v>
      </c>
      <c r="AC97" s="86">
        <f>IF($H97&lt;='Sales, COGS, Sales Team'!AC$13,$G97,0)</f>
        <v>0</v>
      </c>
      <c r="AD97" s="86">
        <f>IF($H97&lt;='Sales, COGS, Sales Team'!AD$13,$G97,0)</f>
        <v>0</v>
      </c>
      <c r="AE97" s="86">
        <f>IF($H97&lt;='Sales, COGS, Sales Team'!AE$13,$G97,0)</f>
        <v>0</v>
      </c>
      <c r="AF97" s="86">
        <f>IF($H97&lt;='Sales, COGS, Sales Team'!AF$13,$G97,0)</f>
        <v>0</v>
      </c>
      <c r="AG97" s="86">
        <f>IF($H97&lt;='Sales, COGS, Sales Team'!AG$13,$G97,0)</f>
        <v>0</v>
      </c>
      <c r="AH97" s="86">
        <f>IF($H97&lt;='Sales, COGS, Sales Team'!AH$13,$G97,0)</f>
        <v>0</v>
      </c>
      <c r="AI97" s="86">
        <f>IF($H97&lt;='Sales, COGS, Sales Team'!AI$13,$G97,0)</f>
        <v>0</v>
      </c>
      <c r="AJ97" s="86">
        <f>IF(AND($H97&lt;='Sales, COGS, Sales Team'!AJ$13,$I97&gt;='Sales, COGS, Sales Team'!AJ$13),$G97*(1+$G$101),0)</f>
        <v>0</v>
      </c>
      <c r="AK97" s="86">
        <f>IF(AND($H97&lt;='Sales, COGS, Sales Team'!AK$13,$I97&gt;='Sales, COGS, Sales Team'!AK$13),$G97*(1+$G$101),0)</f>
        <v>0</v>
      </c>
      <c r="AL97" s="86">
        <f>IF(AND($H97&lt;='Sales, COGS, Sales Team'!AL$13,$I97&gt;='Sales, COGS, Sales Team'!AL$13),$G97*(1+$G$101),0)</f>
        <v>0</v>
      </c>
      <c r="AM97" s="86">
        <f>IF(AND($H97&lt;='Sales, COGS, Sales Team'!AM$13,$I97&gt;='Sales, COGS, Sales Team'!AM$13),$G97*(1+$G$101),0)</f>
        <v>0</v>
      </c>
      <c r="AN97" s="86">
        <f>IF(AND($H97&lt;='Sales, COGS, Sales Team'!AN$13,$I97&gt;='Sales, COGS, Sales Team'!AN$13),$G97*(1+$G$101),0)</f>
        <v>0</v>
      </c>
      <c r="AO97" s="86">
        <f>IF(AND($H97&lt;='Sales, COGS, Sales Team'!AO$13,$I97&gt;='Sales, COGS, Sales Team'!AO$13),$G97*(1+$G$101),0)</f>
        <v>0</v>
      </c>
      <c r="AP97" s="86">
        <f>IF(AND($H97&lt;='Sales, COGS, Sales Team'!AP$13,$I97&gt;='Sales, COGS, Sales Team'!AP$13),$G97*(1+$G$101),0)</f>
        <v>0</v>
      </c>
      <c r="AQ97" s="86">
        <f>IF(AND($H97&lt;='Sales, COGS, Sales Team'!AQ$13,$I97&gt;='Sales, COGS, Sales Team'!AQ$13),$G97*(1+$G$101),0)</f>
        <v>0</v>
      </c>
      <c r="AR97" s="86">
        <f>IF(AND($H97&lt;='Sales, COGS, Sales Team'!AR$13,$I97&gt;='Sales, COGS, Sales Team'!AR$13),$G97*(1+$G$101),0)</f>
        <v>0</v>
      </c>
      <c r="AS97" s="86">
        <f>IF(AND($H97&lt;='Sales, COGS, Sales Team'!AS$13,$I97&gt;='Sales, COGS, Sales Team'!AS$13),$G97*(1+$G$101),0)</f>
        <v>0</v>
      </c>
      <c r="AT97" s="86">
        <f>IF(AND($H97&lt;='Sales, COGS, Sales Team'!AT$13,$I97&gt;='Sales, COGS, Sales Team'!AT$13),$G97*(1+$G$101),0)</f>
        <v>0</v>
      </c>
      <c r="AU97" s="86">
        <f>IF(AND($H97&lt;='Sales, COGS, Sales Team'!AU$13,$I97&gt;='Sales, COGS, Sales Team'!AU$13),$G97*(1+$G$101),0)</f>
        <v>0</v>
      </c>
      <c r="AV97" s="82"/>
      <c r="AW97" s="86">
        <f t="shared" ref="AW97:BD97" si="178">SUMIFS($L97:$AU97,$L$11:$AU$11,"&gt;"&amp;AV$11,$L$11:$AU$11,"&lt;="&amp;AW$11)</f>
        <v>0</v>
      </c>
      <c r="AX97" s="86">
        <f t="shared" si="178"/>
        <v>0</v>
      </c>
      <c r="AY97" s="86">
        <f t="shared" si="178"/>
        <v>0</v>
      </c>
      <c r="AZ97" s="86">
        <f t="shared" si="178"/>
        <v>0</v>
      </c>
      <c r="BA97" s="86">
        <f t="shared" si="178"/>
        <v>0</v>
      </c>
      <c r="BB97" s="86">
        <f t="shared" si="178"/>
        <v>0</v>
      </c>
      <c r="BC97" s="86">
        <f t="shared" si="178"/>
        <v>0</v>
      </c>
      <c r="BD97" s="86">
        <f t="shared" si="178"/>
        <v>0</v>
      </c>
      <c r="BE97" s="82"/>
      <c r="BF97" s="24">
        <f t="shared" ref="BF97:BG97" si="179">SUMIFS($AW97:$BD97,$AW$11:$BD$11,"&gt;"&amp;BE$11,$AW$11:$BD$11,"&lt;="&amp;BF$11)</f>
        <v>0</v>
      </c>
      <c r="BG97" s="24">
        <f t="shared" si="179"/>
        <v>0</v>
      </c>
      <c r="BH97" s="86"/>
      <c r="BI97" s="86"/>
      <c r="BJ97" s="86"/>
      <c r="BK97" s="82"/>
    </row>
    <row r="98" spans="2:63" hidden="1" outlineLevel="1" x14ac:dyDescent="0.2">
      <c r="B98" s="82"/>
      <c r="C98" s="81" t="s">
        <v>51</v>
      </c>
      <c r="D98" s="82"/>
      <c r="E98" s="82"/>
      <c r="F98" s="88">
        <v>60000</v>
      </c>
      <c r="G98" s="83">
        <f>F98/12</f>
        <v>5000</v>
      </c>
      <c r="H98" s="89">
        <v>45292</v>
      </c>
      <c r="I98" s="89">
        <v>46022</v>
      </c>
      <c r="J98" s="89"/>
      <c r="K98" s="82"/>
      <c r="L98" s="86">
        <f>IF(AND($H98&lt;='Sales, COGS, Sales Team'!L$13,$I98&gt;='Sales, COGS, Sales Team'!L$13),$G98,0)</f>
        <v>0</v>
      </c>
      <c r="M98" s="86">
        <f>IF(AND($H98&lt;='Sales, COGS, Sales Team'!M$13,$I98&gt;='Sales, COGS, Sales Team'!M$13),$G98,0)</f>
        <v>0</v>
      </c>
      <c r="N98" s="86">
        <f>IF(AND($H98&lt;='Sales, COGS, Sales Team'!N$13,$I98&gt;='Sales, COGS, Sales Team'!N$13),$G98,0)</f>
        <v>0</v>
      </c>
      <c r="O98" s="86">
        <f>IF(AND($H98&lt;='Sales, COGS, Sales Team'!O$13,$I98&gt;='Sales, COGS, Sales Team'!O$13),$G98,0)</f>
        <v>0</v>
      </c>
      <c r="P98" s="86">
        <f>IF(AND($H98&lt;='Sales, COGS, Sales Team'!P$13,$I98&gt;='Sales, COGS, Sales Team'!P$13),$G98,0)</f>
        <v>0</v>
      </c>
      <c r="Q98" s="86">
        <f>IF(AND($H98&lt;='Sales, COGS, Sales Team'!Q$13,$I98&gt;='Sales, COGS, Sales Team'!Q$13),$G98,0)</f>
        <v>0</v>
      </c>
      <c r="R98" s="86">
        <f>IF(AND($H98&lt;='Sales, COGS, Sales Team'!R$13,$I98&gt;='Sales, COGS, Sales Team'!R$13),$G98,0)</f>
        <v>0</v>
      </c>
      <c r="S98" s="86">
        <f>IF(AND($H98&lt;='Sales, COGS, Sales Team'!S$13,$I98&gt;='Sales, COGS, Sales Team'!S$13),$G98,0)</f>
        <v>0</v>
      </c>
      <c r="T98" s="86">
        <f>IF(AND($H98&lt;='Sales, COGS, Sales Team'!T$13,$I98&gt;='Sales, COGS, Sales Team'!T$13),$G98,0)</f>
        <v>0</v>
      </c>
      <c r="U98" s="86">
        <f>IF(AND($H98&lt;='Sales, COGS, Sales Team'!U$13,$I98&gt;='Sales, COGS, Sales Team'!U$13),$G98,0)</f>
        <v>0</v>
      </c>
      <c r="V98" s="86">
        <f>IF(AND($H98&lt;='Sales, COGS, Sales Team'!V$13,$I98&gt;='Sales, COGS, Sales Team'!V$13),$G98,0)</f>
        <v>0</v>
      </c>
      <c r="W98" s="86">
        <f>IF(AND($H98&lt;='Sales, COGS, Sales Team'!W$13,$I98&gt;='Sales, COGS, Sales Team'!W$13),$G98,0)</f>
        <v>0</v>
      </c>
      <c r="X98" s="86">
        <f>IF(AND($H98&lt;='Sales, COGS, Sales Team'!X$13,$I98&gt;='Sales, COGS, Sales Team'!X$13),$G98,0)</f>
        <v>5000</v>
      </c>
      <c r="Y98" s="86">
        <f>IF(AND($H98&lt;='Sales, COGS, Sales Team'!Y$13,$I98&gt;='Sales, COGS, Sales Team'!Y$13),$G98,0)</f>
        <v>5000</v>
      </c>
      <c r="Z98" s="86">
        <f>IF(AND($H98&lt;='Sales, COGS, Sales Team'!Z$13,$I98&gt;='Sales, COGS, Sales Team'!Z$13),$G98,0)</f>
        <v>5000</v>
      </c>
      <c r="AA98" s="86">
        <f>IF(AND($H98&lt;='Sales, COGS, Sales Team'!AA$13,$I98&gt;='Sales, COGS, Sales Team'!AA$13),$G98,0)</f>
        <v>5000</v>
      </c>
      <c r="AB98" s="86">
        <f>IF(AND($H98&lt;='Sales, COGS, Sales Team'!AB$13,$I98&gt;='Sales, COGS, Sales Team'!AB$13),$G98,0)</f>
        <v>5000</v>
      </c>
      <c r="AC98" s="86">
        <f>IF(AND($H98&lt;='Sales, COGS, Sales Team'!AC$13,$I98&gt;='Sales, COGS, Sales Team'!AC$13),$G98,0)</f>
        <v>5000</v>
      </c>
      <c r="AD98" s="86">
        <f>IF(AND($H98&lt;='Sales, COGS, Sales Team'!AD$13,$I98&gt;='Sales, COGS, Sales Team'!AD$13),$G98,0)</f>
        <v>5000</v>
      </c>
      <c r="AE98" s="86">
        <f>IF(AND($H98&lt;='Sales, COGS, Sales Team'!AE$13,$I98&gt;='Sales, COGS, Sales Team'!AE$13),$G98,0)</f>
        <v>5000</v>
      </c>
      <c r="AF98" s="86">
        <f>IF(AND($H98&lt;='Sales, COGS, Sales Team'!AF$13,$I98&gt;='Sales, COGS, Sales Team'!AF$13),$G98,0)</f>
        <v>5000</v>
      </c>
      <c r="AG98" s="86">
        <f>IF(AND($H98&lt;='Sales, COGS, Sales Team'!AG$13,$I98&gt;='Sales, COGS, Sales Team'!AG$13),$G98,0)</f>
        <v>5000</v>
      </c>
      <c r="AH98" s="86">
        <f>IF(AND($H98&lt;='Sales, COGS, Sales Team'!AH$13,$I98&gt;='Sales, COGS, Sales Team'!AH$13),$G98,0)</f>
        <v>5000</v>
      </c>
      <c r="AI98" s="86">
        <f>IF(AND($H98&lt;='Sales, COGS, Sales Team'!AI$13,$I98&gt;='Sales, COGS, Sales Team'!AI$13),$G98,0)</f>
        <v>5000</v>
      </c>
      <c r="AJ98" s="86">
        <f>IF(AND($H98&lt;='Sales, COGS, Sales Team'!AJ$13,$I98&gt;='Sales, COGS, Sales Team'!AJ$13),$G98*(1+$G$101),0)</f>
        <v>5500</v>
      </c>
      <c r="AK98" s="86">
        <f>IF(AND($H98&lt;='Sales, COGS, Sales Team'!AK$13,$I98&gt;='Sales, COGS, Sales Team'!AK$13),$G98*(1+$G$101),0)</f>
        <v>5500</v>
      </c>
      <c r="AL98" s="86">
        <f>IF(AND($H98&lt;='Sales, COGS, Sales Team'!AL$13,$I98&gt;='Sales, COGS, Sales Team'!AL$13),$G98*(1+$G$101),0)</f>
        <v>5500</v>
      </c>
      <c r="AM98" s="86">
        <f>IF(AND($H98&lt;='Sales, COGS, Sales Team'!AM$13,$I98&gt;='Sales, COGS, Sales Team'!AM$13),$G98*(1+$G$101),0)</f>
        <v>5500</v>
      </c>
      <c r="AN98" s="86">
        <f>IF(AND($H98&lt;='Sales, COGS, Sales Team'!AN$13,$I98&gt;='Sales, COGS, Sales Team'!AN$13),$G98*(1+$G$101),0)</f>
        <v>5500</v>
      </c>
      <c r="AO98" s="86">
        <f>IF(AND($H98&lt;='Sales, COGS, Sales Team'!AO$13,$I98&gt;='Sales, COGS, Sales Team'!AO$13),$G98*(1+$G$101),0)</f>
        <v>5500</v>
      </c>
      <c r="AP98" s="86">
        <f>IF(AND($H98&lt;='Sales, COGS, Sales Team'!AP$13,$I98&gt;='Sales, COGS, Sales Team'!AP$13),$G98*(1+$G$101),0)</f>
        <v>5500</v>
      </c>
      <c r="AQ98" s="86">
        <f>IF(AND($H98&lt;='Sales, COGS, Sales Team'!AQ$13,$I98&gt;='Sales, COGS, Sales Team'!AQ$13),$G98*(1+$G$101),0)</f>
        <v>5500</v>
      </c>
      <c r="AR98" s="86">
        <f>IF(AND($H98&lt;='Sales, COGS, Sales Team'!AR$13,$I98&gt;='Sales, COGS, Sales Team'!AR$13),$G98*(1+$G$101),0)</f>
        <v>5500</v>
      </c>
      <c r="AS98" s="86">
        <f>IF(AND($H98&lt;='Sales, COGS, Sales Team'!AS$13,$I98&gt;='Sales, COGS, Sales Team'!AS$13),$G98*(1+$G$101),0)</f>
        <v>5500</v>
      </c>
      <c r="AT98" s="86">
        <f>IF(AND($H98&lt;='Sales, COGS, Sales Team'!AT$13,$I98&gt;='Sales, COGS, Sales Team'!AT$13),$G98*(1+$G$101),0)</f>
        <v>5500</v>
      </c>
      <c r="AU98" s="86">
        <f>IF(AND($H98&lt;='Sales, COGS, Sales Team'!AU$13,$I98&gt;='Sales, COGS, Sales Team'!AU$13),$G98*(1+$G$101),0)</f>
        <v>5500</v>
      </c>
      <c r="AV98" s="82"/>
      <c r="AW98" s="86">
        <f t="shared" ref="AW98:BD98" si="180">SUMIFS($L98:$AU98,$L$11:$AU$11,"&gt;"&amp;AV$11,$L$11:$AU$11,"&lt;="&amp;AW$11)</f>
        <v>15000</v>
      </c>
      <c r="AX98" s="86">
        <f t="shared" si="180"/>
        <v>15000</v>
      </c>
      <c r="AY98" s="86">
        <f t="shared" si="180"/>
        <v>15000</v>
      </c>
      <c r="AZ98" s="86">
        <f t="shared" si="180"/>
        <v>15000</v>
      </c>
      <c r="BA98" s="86">
        <f t="shared" si="180"/>
        <v>16500</v>
      </c>
      <c r="BB98" s="86">
        <f t="shared" si="180"/>
        <v>16500</v>
      </c>
      <c r="BC98" s="86">
        <f t="shared" si="180"/>
        <v>16500</v>
      </c>
      <c r="BD98" s="86">
        <f t="shared" si="180"/>
        <v>16500</v>
      </c>
      <c r="BE98" s="82"/>
      <c r="BF98" s="24">
        <f t="shared" ref="BF98:BG98" si="181">SUMIFS($AW98:$BD98,$AW$11:$BD$11,"&gt;"&amp;BE$11,$AW$11:$BD$11,"&lt;="&amp;BF$11)</f>
        <v>60000</v>
      </c>
      <c r="BG98" s="24">
        <f t="shared" si="181"/>
        <v>66000</v>
      </c>
      <c r="BH98" s="86"/>
      <c r="BI98" s="86"/>
      <c r="BJ98" s="86"/>
      <c r="BK98" s="82"/>
    </row>
    <row r="99" spans="2:63" hidden="1" outlineLevel="1" x14ac:dyDescent="0.2">
      <c r="B99" s="82"/>
      <c r="C99" s="81" t="s">
        <v>435</v>
      </c>
      <c r="D99" s="82"/>
      <c r="E99" s="82"/>
      <c r="F99" s="88">
        <v>200000</v>
      </c>
      <c r="G99" s="83">
        <f>F99/12</f>
        <v>16666.666666666668</v>
      </c>
      <c r="H99" s="89">
        <v>45292</v>
      </c>
      <c r="I99" s="89">
        <v>46022</v>
      </c>
      <c r="J99" s="89"/>
      <c r="K99" s="82"/>
      <c r="L99" s="86">
        <f>IF(AND($H99&lt;='Sales, COGS, Sales Team'!L$13,$I99&gt;='Sales, COGS, Sales Team'!L$13),$G99,0)</f>
        <v>0</v>
      </c>
      <c r="M99" s="86">
        <f>IF(AND($H99&lt;='Sales, COGS, Sales Team'!M$13,$I99&gt;='Sales, COGS, Sales Team'!M$13),$G99,0)</f>
        <v>0</v>
      </c>
      <c r="N99" s="86">
        <f>IF(AND($H99&lt;='Sales, COGS, Sales Team'!N$13,$I99&gt;='Sales, COGS, Sales Team'!N$13),$G99,0)</f>
        <v>0</v>
      </c>
      <c r="O99" s="86">
        <f>IF(AND($H99&lt;='Sales, COGS, Sales Team'!O$13,$I99&gt;='Sales, COGS, Sales Team'!O$13),$G99,0)</f>
        <v>0</v>
      </c>
      <c r="P99" s="86">
        <f>IF(AND($H99&lt;='Sales, COGS, Sales Team'!P$13,$I99&gt;='Sales, COGS, Sales Team'!P$13),$G99,0)</f>
        <v>0</v>
      </c>
      <c r="Q99" s="86">
        <f>IF(AND($H99&lt;='Sales, COGS, Sales Team'!Q$13,$I99&gt;='Sales, COGS, Sales Team'!Q$13),$G99,0)</f>
        <v>0</v>
      </c>
      <c r="R99" s="86">
        <f>IF(AND($H99&lt;='Sales, COGS, Sales Team'!R$13,$I99&gt;='Sales, COGS, Sales Team'!R$13),$G99,0)</f>
        <v>0</v>
      </c>
      <c r="S99" s="86">
        <f>IF(AND($H99&lt;='Sales, COGS, Sales Team'!S$13,$I99&gt;='Sales, COGS, Sales Team'!S$13),$G99,0)</f>
        <v>0</v>
      </c>
      <c r="T99" s="86">
        <f>IF(AND($H99&lt;='Sales, COGS, Sales Team'!T$13,$I99&gt;='Sales, COGS, Sales Team'!T$13),$G99,0)</f>
        <v>0</v>
      </c>
      <c r="U99" s="86">
        <f>IF(AND($H99&lt;='Sales, COGS, Sales Team'!U$13,$I99&gt;='Sales, COGS, Sales Team'!U$13),$G99,0)</f>
        <v>0</v>
      </c>
      <c r="V99" s="86">
        <f>IF(AND($H99&lt;='Sales, COGS, Sales Team'!V$13,$I99&gt;='Sales, COGS, Sales Team'!V$13),$G99,0)</f>
        <v>0</v>
      </c>
      <c r="W99" s="86">
        <f>IF(AND($H99&lt;='Sales, COGS, Sales Team'!W$13,$I99&gt;='Sales, COGS, Sales Team'!W$13),$G99,0)</f>
        <v>0</v>
      </c>
      <c r="X99" s="86">
        <f>IF(AND($H99&lt;='Sales, COGS, Sales Team'!X$13,$I99&gt;='Sales, COGS, Sales Team'!X$13),$G99,0)</f>
        <v>16666.666666666668</v>
      </c>
      <c r="Y99" s="86">
        <f>IF(AND($H99&lt;='Sales, COGS, Sales Team'!Y$13,$I99&gt;='Sales, COGS, Sales Team'!Y$13),$G99,0)</f>
        <v>16666.666666666668</v>
      </c>
      <c r="Z99" s="86">
        <f>IF(AND($H99&lt;='Sales, COGS, Sales Team'!Z$13,$I99&gt;='Sales, COGS, Sales Team'!Z$13),$G99,0)</f>
        <v>16666.666666666668</v>
      </c>
      <c r="AA99" s="86">
        <f>IF(AND($H99&lt;='Sales, COGS, Sales Team'!AA$13,$I99&gt;='Sales, COGS, Sales Team'!AA$13),$G99,0)</f>
        <v>16666.666666666668</v>
      </c>
      <c r="AB99" s="86">
        <f>IF(AND($H99&lt;='Sales, COGS, Sales Team'!AB$13,$I99&gt;='Sales, COGS, Sales Team'!AB$13),$G99,0)</f>
        <v>16666.666666666668</v>
      </c>
      <c r="AC99" s="86">
        <f>IF(AND($H99&lt;='Sales, COGS, Sales Team'!AC$13,$I99&gt;='Sales, COGS, Sales Team'!AC$13),$G99,0)</f>
        <v>16666.666666666668</v>
      </c>
      <c r="AD99" s="86">
        <f>IF(AND($H99&lt;='Sales, COGS, Sales Team'!AD$13,$I99&gt;='Sales, COGS, Sales Team'!AD$13),$G99,0)</f>
        <v>16666.666666666668</v>
      </c>
      <c r="AE99" s="86">
        <f>IF(AND($H99&lt;='Sales, COGS, Sales Team'!AE$13,$I99&gt;='Sales, COGS, Sales Team'!AE$13),$G99,0)</f>
        <v>16666.666666666668</v>
      </c>
      <c r="AF99" s="86">
        <f>IF(AND($H99&lt;='Sales, COGS, Sales Team'!AF$13,$I99&gt;='Sales, COGS, Sales Team'!AF$13),$G99,0)</f>
        <v>16666.666666666668</v>
      </c>
      <c r="AG99" s="86">
        <f>IF(AND($H99&lt;='Sales, COGS, Sales Team'!AG$13,$I99&gt;='Sales, COGS, Sales Team'!AG$13),$G99,0)</f>
        <v>16666.666666666668</v>
      </c>
      <c r="AH99" s="86">
        <f>IF(AND($H99&lt;='Sales, COGS, Sales Team'!AH$13,$I99&gt;='Sales, COGS, Sales Team'!AH$13),$G99,0)</f>
        <v>16666.666666666668</v>
      </c>
      <c r="AI99" s="86">
        <f>IF(AND($H99&lt;='Sales, COGS, Sales Team'!AI$13,$I99&gt;='Sales, COGS, Sales Team'!AI$13),$G99,0)</f>
        <v>16666.666666666668</v>
      </c>
      <c r="AJ99" s="86">
        <f>IF(AND($H99&lt;='Sales, COGS, Sales Team'!AJ$13,$I99&gt;='Sales, COGS, Sales Team'!AJ$13),$G99*(1+$G$101),0)</f>
        <v>18333.333333333336</v>
      </c>
      <c r="AK99" s="86">
        <f>IF(AND($H99&lt;='Sales, COGS, Sales Team'!AK$13,$I99&gt;='Sales, COGS, Sales Team'!AK$13),$G99*(1+$G$101),0)</f>
        <v>18333.333333333336</v>
      </c>
      <c r="AL99" s="86">
        <f>IF(AND($H99&lt;='Sales, COGS, Sales Team'!AL$13,$I99&gt;='Sales, COGS, Sales Team'!AL$13),$G99*(1+$G$101),0)</f>
        <v>18333.333333333336</v>
      </c>
      <c r="AM99" s="86">
        <f>IF(AND($H99&lt;='Sales, COGS, Sales Team'!AM$13,$I99&gt;='Sales, COGS, Sales Team'!AM$13),$G99*(1+$G$101),0)</f>
        <v>18333.333333333336</v>
      </c>
      <c r="AN99" s="86">
        <f>IF(AND($H99&lt;='Sales, COGS, Sales Team'!AN$13,$I99&gt;='Sales, COGS, Sales Team'!AN$13),$G99*(1+$G$101),0)</f>
        <v>18333.333333333336</v>
      </c>
      <c r="AO99" s="86">
        <f>IF(AND($H99&lt;='Sales, COGS, Sales Team'!AO$13,$I99&gt;='Sales, COGS, Sales Team'!AO$13),$G99*(1+$G$101),0)</f>
        <v>18333.333333333336</v>
      </c>
      <c r="AP99" s="86">
        <f>IF(AND($H99&lt;='Sales, COGS, Sales Team'!AP$13,$I99&gt;='Sales, COGS, Sales Team'!AP$13),$G99*(1+$G$101),0)</f>
        <v>18333.333333333336</v>
      </c>
      <c r="AQ99" s="86">
        <f>IF(AND($H99&lt;='Sales, COGS, Sales Team'!AQ$13,$I99&gt;='Sales, COGS, Sales Team'!AQ$13),$G99*(1+$G$101),0)</f>
        <v>18333.333333333336</v>
      </c>
      <c r="AR99" s="86">
        <f>IF(AND($H99&lt;='Sales, COGS, Sales Team'!AR$13,$I99&gt;='Sales, COGS, Sales Team'!AR$13),$G99*(1+$G$101),0)</f>
        <v>18333.333333333336</v>
      </c>
      <c r="AS99" s="86">
        <f>IF(AND($H99&lt;='Sales, COGS, Sales Team'!AS$13,$I99&gt;='Sales, COGS, Sales Team'!AS$13),$G99*(1+$G$101),0)</f>
        <v>18333.333333333336</v>
      </c>
      <c r="AT99" s="86">
        <f>IF(AND($H99&lt;='Sales, COGS, Sales Team'!AT$13,$I99&gt;='Sales, COGS, Sales Team'!AT$13),$G99*(1+$G$101),0)</f>
        <v>18333.333333333336</v>
      </c>
      <c r="AU99" s="86">
        <f>IF(AND($H99&lt;='Sales, COGS, Sales Team'!AU$13,$I99&gt;='Sales, COGS, Sales Team'!AU$13),$G99*(1+$G$101),0)</f>
        <v>18333.333333333336</v>
      </c>
      <c r="AV99" s="82"/>
      <c r="AW99" s="86">
        <f t="shared" ref="AW99:BD99" si="182">SUMIFS($L99:$AU99,$L$11:$AU$11,"&gt;"&amp;AV$11,$L$11:$AU$11,"&lt;="&amp;AW$11)</f>
        <v>50000</v>
      </c>
      <c r="AX99" s="86">
        <f t="shared" si="182"/>
        <v>50000</v>
      </c>
      <c r="AY99" s="86">
        <f t="shared" si="182"/>
        <v>50000</v>
      </c>
      <c r="AZ99" s="86">
        <f t="shared" si="182"/>
        <v>50000</v>
      </c>
      <c r="BA99" s="86">
        <f t="shared" si="182"/>
        <v>55000.000000000007</v>
      </c>
      <c r="BB99" s="86">
        <f t="shared" si="182"/>
        <v>55000.000000000007</v>
      </c>
      <c r="BC99" s="86">
        <f t="shared" si="182"/>
        <v>55000.000000000007</v>
      </c>
      <c r="BD99" s="86">
        <f t="shared" si="182"/>
        <v>55000.000000000007</v>
      </c>
      <c r="BE99" s="82"/>
      <c r="BF99" s="24">
        <f t="shared" ref="BF99:BG99" si="183">SUMIFS($AW99:$BD99,$AW$11:$BD$11,"&gt;"&amp;BE$11,$AW$11:$BD$11,"&lt;="&amp;BF$11)</f>
        <v>200000</v>
      </c>
      <c r="BG99" s="24">
        <f t="shared" si="183"/>
        <v>220000.00000000003</v>
      </c>
      <c r="BH99" s="86"/>
      <c r="BI99" s="86"/>
      <c r="BJ99" s="86"/>
      <c r="BK99" s="82"/>
    </row>
    <row r="100" spans="2:63" hidden="1" outlineLevel="1" x14ac:dyDescent="0.2">
      <c r="B100" s="82"/>
      <c r="C100" s="90" t="s">
        <v>26</v>
      </c>
      <c r="D100" s="82"/>
      <c r="E100" s="82"/>
      <c r="F100" s="88">
        <v>5000</v>
      </c>
      <c r="G100" s="83">
        <f>F100/12</f>
        <v>416.66666666666669</v>
      </c>
      <c r="H100" s="89">
        <v>45292</v>
      </c>
      <c r="I100" s="89">
        <v>47118</v>
      </c>
      <c r="J100" s="89"/>
      <c r="K100" s="82"/>
      <c r="L100" s="86">
        <f>IF(AND($H100&lt;='Sales, COGS, Sales Team'!L$13,$I100&gt;='Sales, COGS, Sales Team'!L$13),$G100,0)</f>
        <v>0</v>
      </c>
      <c r="M100" s="86">
        <f>IF(AND($H100&lt;='Sales, COGS, Sales Team'!M$13,$I100&gt;='Sales, COGS, Sales Team'!M$13),$G100,0)</f>
        <v>0</v>
      </c>
      <c r="N100" s="86">
        <f>IF(AND($H100&lt;='Sales, COGS, Sales Team'!N$13,$I100&gt;='Sales, COGS, Sales Team'!N$13),$G100,0)</f>
        <v>0</v>
      </c>
      <c r="O100" s="86">
        <f>IF(AND($H100&lt;='Sales, COGS, Sales Team'!O$13,$I100&gt;='Sales, COGS, Sales Team'!O$13),$G100,0)</f>
        <v>0</v>
      </c>
      <c r="P100" s="86">
        <f>IF(AND($H100&lt;='Sales, COGS, Sales Team'!P$13,$I100&gt;='Sales, COGS, Sales Team'!P$13),$G100,0)</f>
        <v>0</v>
      </c>
      <c r="Q100" s="86">
        <f>IF(AND($H100&lt;='Sales, COGS, Sales Team'!Q$13,$I100&gt;='Sales, COGS, Sales Team'!Q$13),$G100,0)</f>
        <v>0</v>
      </c>
      <c r="R100" s="86">
        <f>IF(AND($H100&lt;='Sales, COGS, Sales Team'!R$13,$I100&gt;='Sales, COGS, Sales Team'!R$13),$G100,0)</f>
        <v>0</v>
      </c>
      <c r="S100" s="86">
        <f>IF(AND($H100&lt;='Sales, COGS, Sales Team'!S$13,$I100&gt;='Sales, COGS, Sales Team'!S$13),$G100,0)</f>
        <v>0</v>
      </c>
      <c r="T100" s="86">
        <f>IF(AND($H100&lt;='Sales, COGS, Sales Team'!T$13,$I100&gt;='Sales, COGS, Sales Team'!T$13),$G100,0)</f>
        <v>0</v>
      </c>
      <c r="U100" s="86">
        <f>IF(AND($H100&lt;='Sales, COGS, Sales Team'!U$13,$I100&gt;='Sales, COGS, Sales Team'!U$13),$G100,0)</f>
        <v>0</v>
      </c>
      <c r="V100" s="86">
        <f>IF(AND($H100&lt;='Sales, COGS, Sales Team'!V$13,$I100&gt;='Sales, COGS, Sales Team'!V$13),$G100,0)</f>
        <v>0</v>
      </c>
      <c r="W100" s="86">
        <f>IF(AND($H100&lt;='Sales, COGS, Sales Team'!W$13,$I100&gt;='Sales, COGS, Sales Team'!W$13),$G100,0)</f>
        <v>0</v>
      </c>
      <c r="X100" s="86">
        <f>IF(AND($H100&lt;='Sales, COGS, Sales Team'!X$13,$I100&gt;='Sales, COGS, Sales Team'!X$13),$G100,0)</f>
        <v>416.66666666666669</v>
      </c>
      <c r="Y100" s="86">
        <f>IF(AND($H100&lt;='Sales, COGS, Sales Team'!Y$13,$I100&gt;='Sales, COGS, Sales Team'!Y$13),$G100,0)</f>
        <v>416.66666666666669</v>
      </c>
      <c r="Z100" s="86">
        <f>IF(AND($H100&lt;='Sales, COGS, Sales Team'!Z$13,$I100&gt;='Sales, COGS, Sales Team'!Z$13),$G100,0)</f>
        <v>416.66666666666669</v>
      </c>
      <c r="AA100" s="86">
        <f>IF(AND($H100&lt;='Sales, COGS, Sales Team'!AA$13,$I100&gt;='Sales, COGS, Sales Team'!AA$13),$G100,0)</f>
        <v>416.66666666666669</v>
      </c>
      <c r="AB100" s="86">
        <f>IF(AND($H100&lt;='Sales, COGS, Sales Team'!AB$13,$I100&gt;='Sales, COGS, Sales Team'!AB$13),$G100,0)</f>
        <v>416.66666666666669</v>
      </c>
      <c r="AC100" s="86">
        <f>IF(AND($H100&lt;='Sales, COGS, Sales Team'!AC$13,$I100&gt;='Sales, COGS, Sales Team'!AC$13),$G100,0)</f>
        <v>416.66666666666669</v>
      </c>
      <c r="AD100" s="86">
        <f>IF(AND($H100&lt;='Sales, COGS, Sales Team'!AD$13,$I100&gt;='Sales, COGS, Sales Team'!AD$13),$G100,0)</f>
        <v>416.66666666666669</v>
      </c>
      <c r="AE100" s="86">
        <f>IF(AND($H100&lt;='Sales, COGS, Sales Team'!AE$13,$I100&gt;='Sales, COGS, Sales Team'!AE$13),$G100,0)</f>
        <v>416.66666666666669</v>
      </c>
      <c r="AF100" s="86">
        <f>IF(AND($H100&lt;='Sales, COGS, Sales Team'!AF$13,$I100&gt;='Sales, COGS, Sales Team'!AF$13),$G100,0)</f>
        <v>416.66666666666669</v>
      </c>
      <c r="AG100" s="86">
        <f>IF(AND($H100&lt;='Sales, COGS, Sales Team'!AG$13,$I100&gt;='Sales, COGS, Sales Team'!AG$13),$G100,0)</f>
        <v>416.66666666666669</v>
      </c>
      <c r="AH100" s="86">
        <f>IF(AND($H100&lt;='Sales, COGS, Sales Team'!AH$13,$I100&gt;='Sales, COGS, Sales Team'!AH$13),$G100,0)</f>
        <v>416.66666666666669</v>
      </c>
      <c r="AI100" s="86">
        <f>IF(AND($H100&lt;='Sales, COGS, Sales Team'!AI$13,$I100&gt;='Sales, COGS, Sales Team'!AI$13),$G100,0)</f>
        <v>416.66666666666669</v>
      </c>
      <c r="AJ100" s="86">
        <f>IF(AND($H100&lt;='Sales, COGS, Sales Team'!AJ$13,$I100&gt;='Sales, COGS, Sales Team'!AJ$13),$G100*(1+$G$101),0)</f>
        <v>458.33333333333337</v>
      </c>
      <c r="AK100" s="86">
        <f>IF(AND($H100&lt;='Sales, COGS, Sales Team'!AK$13,$I100&gt;='Sales, COGS, Sales Team'!AK$13),$G100*(1+$G$101),0)</f>
        <v>458.33333333333337</v>
      </c>
      <c r="AL100" s="86">
        <f>IF(AND($H100&lt;='Sales, COGS, Sales Team'!AL$13,$I100&gt;='Sales, COGS, Sales Team'!AL$13),$G100*(1+$G$101),0)</f>
        <v>458.33333333333337</v>
      </c>
      <c r="AM100" s="86">
        <f>IF(AND($H100&lt;='Sales, COGS, Sales Team'!AM$13,$I100&gt;='Sales, COGS, Sales Team'!AM$13),$G100*(1+$G$101),0)</f>
        <v>458.33333333333337</v>
      </c>
      <c r="AN100" s="86">
        <f>IF(AND($H100&lt;='Sales, COGS, Sales Team'!AN$13,$I100&gt;='Sales, COGS, Sales Team'!AN$13),$G100*(1+$G$101),0)</f>
        <v>458.33333333333337</v>
      </c>
      <c r="AO100" s="86">
        <f>IF(AND($H100&lt;='Sales, COGS, Sales Team'!AO$13,$I100&gt;='Sales, COGS, Sales Team'!AO$13),$G100*(1+$G$101),0)</f>
        <v>458.33333333333337</v>
      </c>
      <c r="AP100" s="86">
        <f>IF(AND($H100&lt;='Sales, COGS, Sales Team'!AP$13,$I100&gt;='Sales, COGS, Sales Team'!AP$13),$G100*(1+$G$101),0)</f>
        <v>458.33333333333337</v>
      </c>
      <c r="AQ100" s="86">
        <f>IF(AND($H100&lt;='Sales, COGS, Sales Team'!AQ$13,$I100&gt;='Sales, COGS, Sales Team'!AQ$13),$G100*(1+$G$101),0)</f>
        <v>458.33333333333337</v>
      </c>
      <c r="AR100" s="86">
        <f>IF(AND($H100&lt;='Sales, COGS, Sales Team'!AR$13,$I100&gt;='Sales, COGS, Sales Team'!AR$13),$G100*(1+$G$101),0)</f>
        <v>458.33333333333337</v>
      </c>
      <c r="AS100" s="86">
        <f>IF(AND($H100&lt;='Sales, COGS, Sales Team'!AS$13,$I100&gt;='Sales, COGS, Sales Team'!AS$13),$G100*(1+$G$101),0)</f>
        <v>458.33333333333337</v>
      </c>
      <c r="AT100" s="86">
        <f>IF(AND($H100&lt;='Sales, COGS, Sales Team'!AT$13,$I100&gt;='Sales, COGS, Sales Team'!AT$13),$G100*(1+$G$101),0)</f>
        <v>458.33333333333337</v>
      </c>
      <c r="AU100" s="86">
        <f>IF(AND($H100&lt;='Sales, COGS, Sales Team'!AU$13,$I100&gt;='Sales, COGS, Sales Team'!AU$13),$G100*(1+$G$101),0)</f>
        <v>458.33333333333337</v>
      </c>
      <c r="AV100" s="82"/>
      <c r="AW100" s="91">
        <f t="shared" ref="AW100:BD100" si="184">SUMIFS($L100:$AU100,$L$11:$AU$11,"&gt;"&amp;AV$11,$L$11:$AU$11,"&lt;="&amp;AW$11)</f>
        <v>1250</v>
      </c>
      <c r="AX100" s="91">
        <f t="shared" si="184"/>
        <v>1250</v>
      </c>
      <c r="AY100" s="91">
        <f t="shared" si="184"/>
        <v>1250</v>
      </c>
      <c r="AZ100" s="91">
        <f t="shared" si="184"/>
        <v>1250</v>
      </c>
      <c r="BA100" s="91">
        <f t="shared" si="184"/>
        <v>1375</v>
      </c>
      <c r="BB100" s="91">
        <f t="shared" si="184"/>
        <v>1375</v>
      </c>
      <c r="BC100" s="91">
        <f t="shared" si="184"/>
        <v>1375</v>
      </c>
      <c r="BD100" s="91">
        <f t="shared" si="184"/>
        <v>1375</v>
      </c>
      <c r="BE100" s="82"/>
      <c r="BF100" s="76">
        <f t="shared" ref="BF100:BG100" si="185">SUMIFS($AW100:$BD100,$AW$11:$BD$11,"&gt;"&amp;BE$11,$AW$11:$BD$11,"&lt;="&amp;BF$11)</f>
        <v>5000</v>
      </c>
      <c r="BG100" s="76">
        <f t="shared" si="185"/>
        <v>5500</v>
      </c>
      <c r="BH100" s="91"/>
      <c r="BI100" s="91"/>
      <c r="BJ100" s="91"/>
      <c r="BK100" s="82"/>
    </row>
    <row r="101" spans="2:63" collapsed="1" x14ac:dyDescent="0.2">
      <c r="C101" s="23" t="s">
        <v>25</v>
      </c>
      <c r="G101" s="185">
        <f>'Key Assumptions + Summary'!E81</f>
        <v>0.1</v>
      </c>
      <c r="H101" s="185">
        <f>'Key Assumptions + Summary'!F81</f>
        <v>0.1</v>
      </c>
      <c r="I101" s="185">
        <f>'Key Assumptions + Summary'!G81</f>
        <v>0.1</v>
      </c>
      <c r="J101" s="185">
        <f>'Key Assumptions + Summary'!H81</f>
        <v>0.1</v>
      </c>
      <c r="L101" s="24">
        <f t="shared" ref="L101:AU101" si="186">SUM(L92:L100)</f>
        <v>0</v>
      </c>
      <c r="M101" s="24">
        <f t="shared" si="186"/>
        <v>0</v>
      </c>
      <c r="N101" s="24">
        <f t="shared" si="186"/>
        <v>0</v>
      </c>
      <c r="O101" s="24">
        <f t="shared" si="186"/>
        <v>0</v>
      </c>
      <c r="P101" s="24">
        <f t="shared" si="186"/>
        <v>0</v>
      </c>
      <c r="Q101" s="24">
        <f t="shared" si="186"/>
        <v>0</v>
      </c>
      <c r="R101" s="24">
        <f t="shared" si="186"/>
        <v>0</v>
      </c>
      <c r="S101" s="24">
        <f t="shared" si="186"/>
        <v>0</v>
      </c>
      <c r="T101" s="24">
        <f t="shared" si="186"/>
        <v>0</v>
      </c>
      <c r="U101" s="24">
        <f t="shared" si="186"/>
        <v>0</v>
      </c>
      <c r="V101" s="24">
        <f t="shared" si="186"/>
        <v>0</v>
      </c>
      <c r="W101" s="24">
        <f t="shared" si="186"/>
        <v>20000</v>
      </c>
      <c r="X101" s="24">
        <f t="shared" si="186"/>
        <v>24062.500000000004</v>
      </c>
      <c r="Y101" s="24">
        <f t="shared" si="186"/>
        <v>24062.500000000004</v>
      </c>
      <c r="Z101" s="24">
        <f t="shared" si="186"/>
        <v>34062.499999999993</v>
      </c>
      <c r="AA101" s="24">
        <f t="shared" si="186"/>
        <v>24062.500000000004</v>
      </c>
      <c r="AB101" s="24">
        <f t="shared" si="186"/>
        <v>24062.500000000004</v>
      </c>
      <c r="AC101" s="24">
        <f t="shared" si="186"/>
        <v>24062.500000000004</v>
      </c>
      <c r="AD101" s="24">
        <f t="shared" si="186"/>
        <v>24062.500000000004</v>
      </c>
      <c r="AE101" s="24">
        <f t="shared" si="186"/>
        <v>24062.500000000004</v>
      </c>
      <c r="AF101" s="24">
        <f t="shared" si="186"/>
        <v>24062.500000000004</v>
      </c>
      <c r="AG101" s="24">
        <f t="shared" si="186"/>
        <v>24062.500000000004</v>
      </c>
      <c r="AH101" s="24">
        <f t="shared" si="186"/>
        <v>24062.500000000004</v>
      </c>
      <c r="AI101" s="24">
        <f t="shared" si="186"/>
        <v>44062.5</v>
      </c>
      <c r="AJ101" s="24">
        <f t="shared" si="186"/>
        <v>26468.750000000004</v>
      </c>
      <c r="AK101" s="24">
        <f t="shared" si="186"/>
        <v>26468.750000000004</v>
      </c>
      <c r="AL101" s="24">
        <f t="shared" si="186"/>
        <v>36468.750000000007</v>
      </c>
      <c r="AM101" s="24">
        <f t="shared" si="186"/>
        <v>26468.750000000004</v>
      </c>
      <c r="AN101" s="24">
        <f t="shared" si="186"/>
        <v>26468.750000000004</v>
      </c>
      <c r="AO101" s="24">
        <f t="shared" si="186"/>
        <v>26468.750000000004</v>
      </c>
      <c r="AP101" s="24">
        <f t="shared" si="186"/>
        <v>26468.750000000004</v>
      </c>
      <c r="AQ101" s="24">
        <f t="shared" si="186"/>
        <v>26468.750000000004</v>
      </c>
      <c r="AR101" s="24">
        <f t="shared" si="186"/>
        <v>26468.750000000004</v>
      </c>
      <c r="AS101" s="24">
        <f t="shared" si="186"/>
        <v>26468.750000000004</v>
      </c>
      <c r="AT101" s="24">
        <f t="shared" si="186"/>
        <v>26468.750000000004</v>
      </c>
      <c r="AU101" s="24">
        <f t="shared" si="186"/>
        <v>46468.750000000007</v>
      </c>
      <c r="AW101" s="24">
        <f t="shared" ref="AW101:BD101" si="187">SUM(AW92:AW100)</f>
        <v>82187.5</v>
      </c>
      <c r="AX101" s="24">
        <f t="shared" si="187"/>
        <v>72187.5</v>
      </c>
      <c r="AY101" s="24">
        <f t="shared" si="187"/>
        <v>72187.5</v>
      </c>
      <c r="AZ101" s="24">
        <f t="shared" si="187"/>
        <v>92187.5</v>
      </c>
      <c r="BA101" s="24">
        <f t="shared" si="187"/>
        <v>89406.25</v>
      </c>
      <c r="BB101" s="24">
        <f t="shared" si="187"/>
        <v>79406.25</v>
      </c>
      <c r="BC101" s="24">
        <f t="shared" si="187"/>
        <v>79406.25</v>
      </c>
      <c r="BD101" s="24">
        <f t="shared" si="187"/>
        <v>99406.25</v>
      </c>
      <c r="BF101" s="24">
        <f>SUM(BF92:BF100)</f>
        <v>318750</v>
      </c>
      <c r="BG101" s="24">
        <f>SUM(BG92:BG100)</f>
        <v>347625</v>
      </c>
      <c r="BH101" s="24">
        <f>BG101*(1+H101)</f>
        <v>382387.50000000006</v>
      </c>
      <c r="BI101" s="24">
        <f>BH101*(1+I101)</f>
        <v>420626.25000000012</v>
      </c>
      <c r="BJ101" s="24">
        <f>BI101*(1+J101)</f>
        <v>462688.87500000017</v>
      </c>
    </row>
    <row r="102" spans="2:63" x14ac:dyDescent="0.2">
      <c r="C102" s="23"/>
    </row>
    <row r="103" spans="2:63" x14ac:dyDescent="0.2">
      <c r="C103" s="79" t="s">
        <v>2</v>
      </c>
      <c r="L103" s="25">
        <f t="shared" ref="L103:AU103" si="188">SUM(L35,L44,L51,L56,L65,L76,L90,L101)</f>
        <v>0</v>
      </c>
      <c r="M103" s="25">
        <f t="shared" si="188"/>
        <v>0</v>
      </c>
      <c r="N103" s="25">
        <f t="shared" si="188"/>
        <v>0</v>
      </c>
      <c r="O103" s="25">
        <f t="shared" si="188"/>
        <v>0</v>
      </c>
      <c r="P103" s="25">
        <f t="shared" si="188"/>
        <v>0</v>
      </c>
      <c r="Q103" s="25">
        <f t="shared" si="188"/>
        <v>0</v>
      </c>
      <c r="R103" s="25">
        <f t="shared" si="188"/>
        <v>0</v>
      </c>
      <c r="S103" s="25">
        <f t="shared" si="188"/>
        <v>0</v>
      </c>
      <c r="T103" s="25">
        <f t="shared" si="188"/>
        <v>198664.88271604935</v>
      </c>
      <c r="U103" s="25">
        <f t="shared" si="188"/>
        <v>63498.216049382725</v>
      </c>
      <c r="V103" s="25">
        <f t="shared" si="188"/>
        <v>63498.216049382725</v>
      </c>
      <c r="W103" s="25">
        <f t="shared" si="188"/>
        <v>95581.549382716054</v>
      </c>
      <c r="X103" s="25">
        <f t="shared" si="188"/>
        <v>119527.91690408357</v>
      </c>
      <c r="Y103" s="25">
        <f t="shared" si="188"/>
        <v>119527.91690408357</v>
      </c>
      <c r="Z103" s="25">
        <f t="shared" si="188"/>
        <v>129527.91690408357</v>
      </c>
      <c r="AA103" s="25">
        <f t="shared" si="188"/>
        <v>119527.91690408357</v>
      </c>
      <c r="AB103" s="25">
        <f t="shared" si="188"/>
        <v>119527.91690408357</v>
      </c>
      <c r="AC103" s="25">
        <f t="shared" si="188"/>
        <v>119527.91690408357</v>
      </c>
      <c r="AD103" s="25">
        <f t="shared" si="188"/>
        <v>119527.91690408357</v>
      </c>
      <c r="AE103" s="25">
        <f t="shared" si="188"/>
        <v>110527.91690408357</v>
      </c>
      <c r="AF103" s="25">
        <f t="shared" si="188"/>
        <v>110527.91690408357</v>
      </c>
      <c r="AG103" s="25">
        <f t="shared" si="188"/>
        <v>214374.07075023741</v>
      </c>
      <c r="AH103" s="25">
        <f t="shared" si="188"/>
        <v>214374.07075023741</v>
      </c>
      <c r="AI103" s="25">
        <f t="shared" si="188"/>
        <v>244374.07075023741</v>
      </c>
      <c r="AJ103" s="25">
        <f t="shared" si="188"/>
        <v>314823.64636752137</v>
      </c>
      <c r="AK103" s="25">
        <f t="shared" si="188"/>
        <v>301746.72329059831</v>
      </c>
      <c r="AL103" s="25">
        <f t="shared" si="188"/>
        <v>311746.72329059831</v>
      </c>
      <c r="AM103" s="25">
        <f t="shared" si="188"/>
        <v>301746.72329059831</v>
      </c>
      <c r="AN103" s="25">
        <f t="shared" si="188"/>
        <v>301746.72329059831</v>
      </c>
      <c r="AO103" s="25">
        <f t="shared" si="188"/>
        <v>301746.72329059831</v>
      </c>
      <c r="AP103" s="25">
        <f t="shared" si="188"/>
        <v>301746.72329059831</v>
      </c>
      <c r="AQ103" s="25">
        <f t="shared" si="188"/>
        <v>301746.72329059831</v>
      </c>
      <c r="AR103" s="25">
        <f t="shared" si="188"/>
        <v>301746.72329059831</v>
      </c>
      <c r="AS103" s="25">
        <f t="shared" si="188"/>
        <v>301746.72329059831</v>
      </c>
      <c r="AT103" s="25">
        <f t="shared" si="188"/>
        <v>197900.56944444444</v>
      </c>
      <c r="AU103" s="25">
        <f t="shared" si="188"/>
        <v>229400.56944444444</v>
      </c>
      <c r="AW103" s="25">
        <f t="shared" ref="AW103:BD103" si="189">SUM(AW35,AW44,AW51,AW56,AW65,AW76,AW90,AW101)</f>
        <v>419753.22321225074</v>
      </c>
      <c r="AX103" s="25">
        <f t="shared" si="189"/>
        <v>419301.84746225073</v>
      </c>
      <c r="AY103" s="25">
        <f t="shared" si="189"/>
        <v>403919.06752100069</v>
      </c>
      <c r="AZ103" s="25">
        <f t="shared" si="189"/>
        <v>748144.86850071233</v>
      </c>
      <c r="BA103" s="25">
        <f t="shared" si="189"/>
        <v>1055122.467948718</v>
      </c>
      <c r="BB103" s="25">
        <f t="shared" si="189"/>
        <v>1046784.9123717949</v>
      </c>
      <c r="BC103" s="25">
        <f t="shared" si="189"/>
        <v>1059257.9879592948</v>
      </c>
      <c r="BD103" s="25">
        <f t="shared" si="189"/>
        <v>916127.73717948725</v>
      </c>
      <c r="BF103" s="25">
        <f>SUM(BF35,BF44,BF51,BF56,BF65,BF76,BF90,BF101)</f>
        <v>1991119.0066962144</v>
      </c>
      <c r="BG103" s="25">
        <f>SUM(BG35,BG44,BG51,BG56,BG65,BG76,BG90,BG101)</f>
        <v>4077293.1054592943</v>
      </c>
      <c r="BH103" s="25">
        <f>SUM(BH35,BH44,BH51,BH56,BH65,BH76,BH90,BH101)</f>
        <v>3596034</v>
      </c>
      <c r="BI103" s="25">
        <f>SUM(BI35,BI44,BI51,BI56,BI65,BI76,BI90,BI101)</f>
        <v>4761473.1124999998</v>
      </c>
      <c r="BJ103" s="25">
        <f>SUM(BJ35,BJ44,BJ51,BJ56,BJ65,BJ76,BJ90,BJ101)</f>
        <v>6704308.189375001</v>
      </c>
    </row>
    <row r="104" spans="2:63" x14ac:dyDescent="0.2">
      <c r="BF104" s="312"/>
      <c r="BG104" s="312"/>
      <c r="BH104" s="312"/>
      <c r="BI104" s="312"/>
      <c r="BJ104" s="312"/>
    </row>
    <row r="105" spans="2:63" x14ac:dyDescent="0.2">
      <c r="C105" s="39" t="s">
        <v>90</v>
      </c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W105" s="25">
        <f t="shared" ref="AW105:BD105" si="190">AW18-AW103</f>
        <v>-375619.96793611435</v>
      </c>
      <c r="AX105" s="25">
        <f t="shared" si="190"/>
        <v>-247845.79524779617</v>
      </c>
      <c r="AY105" s="25">
        <f t="shared" si="190"/>
        <v>-196610.5542808352</v>
      </c>
      <c r="AZ105" s="25">
        <f t="shared" si="190"/>
        <v>-382963.97145525774</v>
      </c>
      <c r="BA105" s="25">
        <f t="shared" si="190"/>
        <v>-348891.53910780884</v>
      </c>
      <c r="BB105" s="25">
        <f t="shared" si="190"/>
        <v>-141033.31431361288</v>
      </c>
      <c r="BC105" s="25">
        <f t="shared" si="190"/>
        <v>14442.408924177988</v>
      </c>
      <c r="BD105" s="25">
        <f t="shared" si="190"/>
        <v>325042.3564568765</v>
      </c>
      <c r="BF105" s="25">
        <f>BF18-BF103</f>
        <v>-1203040.2889200035</v>
      </c>
      <c r="BG105" s="25">
        <f>BG18-BG103</f>
        <v>-150440.0880403663</v>
      </c>
      <c r="BH105" s="25">
        <f>BH18-BH103</f>
        <v>3918238.3090909086</v>
      </c>
      <c r="BI105" s="25">
        <f>BI18-BI103</f>
        <v>10773430.242045458</v>
      </c>
      <c r="BJ105" s="25">
        <f>BJ18-BJ103</f>
        <v>23402234.541534096</v>
      </c>
    </row>
    <row r="107" spans="2:63" x14ac:dyDescent="0.2">
      <c r="C107" s="23" t="s">
        <v>241</v>
      </c>
      <c r="G107" s="174"/>
      <c r="H107" s="175"/>
      <c r="AW107" s="294">
        <f>INDEX('Sales, COGS, Sales Team'!$AW$20:$BD$158,MATCH('3-Statement Model'!$C107,'Sales, COGS, Sales Team'!$C$20:$C$158,0),MATCH('3-Statement Model'!AW$11,'Sales, COGS, Sales Team'!$AW$11:$BD$11,0))</f>
        <v>1859.9888291420457</v>
      </c>
      <c r="AX107" s="294">
        <f>INDEX('Sales, COGS, Sales Team'!$AW$20:$BD$158,MATCH('3-Statement Model'!$C107,'Sales, COGS, Sales Team'!$C$20:$C$158,0),MATCH('3-Statement Model'!AX$11,'Sales, COGS, Sales Team'!$AW$11:$BD$11,0))</f>
        <v>9102.0466123588649</v>
      </c>
      <c r="AY107" s="294">
        <f>INDEX('Sales, COGS, Sales Team'!$AW$20:$BD$158,MATCH('3-Statement Model'!$C107,'Sales, COGS, Sales Team'!$C$20:$C$158,0),MATCH('3-Statement Model'!AY$11,'Sales, COGS, Sales Team'!$AW$11:$BD$11,0))</f>
        <v>17833.607695961349</v>
      </c>
      <c r="AZ107" s="294">
        <f>INDEX('Sales, COGS, Sales Team'!$AW$20:$BD$158,MATCH('3-Statement Model'!$C107,'Sales, COGS, Sales Team'!$C$20:$C$158,0),MATCH('3-Statement Model'!AZ$11,'Sales, COGS, Sales Team'!$AW$11:$BD$11,0))</f>
        <v>33183.196151643169</v>
      </c>
      <c r="BA107" s="294">
        <f>INDEX('Sales, COGS, Sales Team'!$AW$20:$BD$158,MATCH('3-Statement Model'!$C107,'Sales, COGS, Sales Team'!$C$20:$C$158,0),MATCH('3-Statement Model'!BA$11,'Sales, COGS, Sales Team'!$AW$11:$BD$11,0))</f>
        <v>62933.160084256808</v>
      </c>
      <c r="BB107" s="294">
        <f>INDEX('Sales, COGS, Sales Team'!$AW$20:$BD$158,MATCH('3-Statement Model'!$C107,'Sales, COGS, Sales Team'!$C$20:$C$158,0),MATCH('3-Statement Model'!BB$11,'Sales, COGS, Sales Team'!$AW$11:$BD$11,0))</f>
        <v>101035.70405512955</v>
      </c>
      <c r="BC107" s="294">
        <f>INDEX('Sales, COGS, Sales Team'!$AW$20:$BD$158,MATCH('3-Statement Model'!$C107,'Sales, COGS, Sales Team'!$C$20:$C$158,0),MATCH('3-Statement Model'!BC$11,'Sales, COGS, Sales Team'!$AW$11:$BD$11,0))</f>
        <v>146193.14385838163</v>
      </c>
      <c r="BD107" s="294">
        <f>INDEX('Sales, COGS, Sales Team'!$AW$20:$BD$158,MATCH('3-Statement Model'!$C107,'Sales, COGS, Sales Team'!$C$20:$C$158,0),MATCH('3-Statement Model'!BD$11,'Sales, COGS, Sales Team'!$AW$11:$BD$11,0))</f>
        <v>198385.1952629271</v>
      </c>
      <c r="BF107" s="24">
        <f t="shared" ref="BF107:BG107" si="191">SUMIFS($AW107:$BD107,$AW$11:$BD$11,"&gt;"&amp;BE$11,$AW$11:$BD$11,"&lt;="&amp;BF$11)</f>
        <v>61978.839289105425</v>
      </c>
      <c r="BG107" s="24">
        <f t="shared" si="191"/>
        <v>508547.2032606951</v>
      </c>
      <c r="BH107" s="294">
        <f>INDEX('Sales, COGS, Sales Team'!$BH$20:$BJ$158,MATCH('3-Statement Model'!$C107,'Sales, COGS, Sales Team'!$C$20:$C$158,0),MATCH('3-Statement Model'!BH$11,'Sales, COGS, Sales Team'!$BH$11:$BJ$11,0))</f>
        <v>514652.27989929076</v>
      </c>
      <c r="BI107" s="294">
        <f>INDEX('Sales, COGS, Sales Team'!$BH$20:$BJ$158,MATCH('3-Statement Model'!$C107,'Sales, COGS, Sales Team'!$C$20:$C$158,0),MATCH('3-Statement Model'!BI$11,'Sales, COGS, Sales Team'!$BH$11:$BJ$11,0))</f>
        <v>1168713.8302174727</v>
      </c>
      <c r="BJ107" s="294">
        <f>INDEX('Sales, COGS, Sales Team'!$BH$20:$BJ$158,MATCH('3-Statement Model'!$C107,'Sales, COGS, Sales Team'!$C$20:$C$158,0),MATCH('3-Statement Model'!BJ$11,'Sales, COGS, Sales Team'!$BH$11:$BJ$11,0))</f>
        <v>2318975.2192350002</v>
      </c>
    </row>
    <row r="108" spans="2:63" x14ac:dyDescent="0.2">
      <c r="C108" s="79" t="s">
        <v>242</v>
      </c>
      <c r="G108" s="174"/>
      <c r="H108" s="175"/>
      <c r="AW108" s="172">
        <f t="shared" ref="AW108:BD108" si="192">AW105-AW107</f>
        <v>-377479.95676525641</v>
      </c>
      <c r="AX108" s="172">
        <f t="shared" si="192"/>
        <v>-256947.84186015502</v>
      </c>
      <c r="AY108" s="172">
        <f t="shared" si="192"/>
        <v>-214444.16197679655</v>
      </c>
      <c r="AZ108" s="172">
        <f t="shared" si="192"/>
        <v>-416147.16760690091</v>
      </c>
      <c r="BA108" s="172">
        <f t="shared" si="192"/>
        <v>-411824.69919206563</v>
      </c>
      <c r="BB108" s="172">
        <f t="shared" si="192"/>
        <v>-242069.01836874243</v>
      </c>
      <c r="BC108" s="172">
        <f t="shared" si="192"/>
        <v>-131750.73493420365</v>
      </c>
      <c r="BD108" s="172">
        <f t="shared" si="192"/>
        <v>126657.1611939494</v>
      </c>
      <c r="BF108" s="172">
        <f>BF105-BF107</f>
        <v>-1265019.128209109</v>
      </c>
      <c r="BG108" s="172">
        <f>BG105-BG107</f>
        <v>-658987.2913010614</v>
      </c>
      <c r="BH108" s="172">
        <f>BH105-BH107</f>
        <v>3403586.0291916179</v>
      </c>
      <c r="BI108" s="172">
        <f>BI105-BI107</f>
        <v>9604716.4118279852</v>
      </c>
      <c r="BJ108" s="172">
        <f>BJ105-BJ107</f>
        <v>21083259.322299097</v>
      </c>
    </row>
    <row r="110" spans="2:63" x14ac:dyDescent="0.2">
      <c r="C110" s="23" t="s">
        <v>208</v>
      </c>
      <c r="G110" s="185">
        <f>'Key Assumptions + Summary'!$D$85</f>
        <v>0.23</v>
      </c>
      <c r="AW110" s="24">
        <f t="shared" ref="AW110:BD110" si="193">IF(($G$110*AW108)&gt;0,$G$110*AW108,0)</f>
        <v>0</v>
      </c>
      <c r="AX110" s="24">
        <f t="shared" si="193"/>
        <v>0</v>
      </c>
      <c r="AY110" s="24">
        <f t="shared" si="193"/>
        <v>0</v>
      </c>
      <c r="AZ110" s="24">
        <f t="shared" si="193"/>
        <v>0</v>
      </c>
      <c r="BA110" s="24">
        <f t="shared" si="193"/>
        <v>0</v>
      </c>
      <c r="BB110" s="24">
        <f t="shared" si="193"/>
        <v>0</v>
      </c>
      <c r="BC110" s="24">
        <f t="shared" si="193"/>
        <v>0</v>
      </c>
      <c r="BD110" s="24">
        <f t="shared" si="193"/>
        <v>29131.147074608365</v>
      </c>
      <c r="BF110" s="24">
        <f t="shared" ref="BF110:BG110" si="194">SUMIFS($AW110:$BD110,$AW$11:$BD$11,"&gt;"&amp;BE$11,$AW$11:$BD$11,"&lt;="&amp;BF$11)</f>
        <v>0</v>
      </c>
      <c r="BG110" s="24">
        <f t="shared" si="194"/>
        <v>29131.147074608365</v>
      </c>
      <c r="BH110" s="24">
        <f>IF(($G$110*BH108)&gt;0,$G$110*BH108,0)</f>
        <v>782824.78671407211</v>
      </c>
      <c r="BI110" s="24">
        <f>IF(($G$110*BI108)&gt;0,$G$110*BI108,0)</f>
        <v>2209084.7747204369</v>
      </c>
      <c r="BJ110" s="24">
        <f>IF(($G$110*BJ108)&gt;0,$G$110*BJ108,0)</f>
        <v>4849149.6441287929</v>
      </c>
    </row>
    <row r="111" spans="2:63" x14ac:dyDescent="0.2">
      <c r="C111" s="23" t="s">
        <v>246</v>
      </c>
      <c r="AW111" s="136">
        <f t="shared" ref="AW111:BD111" si="195">AW210</f>
        <v>2137.7925000000005</v>
      </c>
      <c r="AX111" s="136">
        <f t="shared" si="195"/>
        <v>4275.5850000000009</v>
      </c>
      <c r="AY111" s="136">
        <f t="shared" si="195"/>
        <v>11401.560000000001</v>
      </c>
      <c r="AZ111" s="136">
        <f t="shared" si="195"/>
        <v>27945</v>
      </c>
      <c r="BA111" s="136">
        <f t="shared" si="195"/>
        <v>37725.75</v>
      </c>
      <c r="BB111" s="136">
        <f t="shared" si="195"/>
        <v>61479</v>
      </c>
      <c r="BC111" s="136">
        <f t="shared" si="195"/>
        <v>75451.5</v>
      </c>
      <c r="BD111" s="136">
        <f t="shared" si="195"/>
        <v>89424</v>
      </c>
      <c r="BF111" s="24">
        <f t="shared" ref="BF111:BG111" si="196">SUMIFS($AW111:$BD111,$AW$11:$BD$11,"&gt;"&amp;BE$11,$AW$11:$BD$11,"&lt;="&amp;BF$11)</f>
        <v>45759.9375</v>
      </c>
      <c r="BG111" s="24">
        <f t="shared" si="196"/>
        <v>264080.25</v>
      </c>
      <c r="BH111" s="136">
        <f>BH210</f>
        <v>469476</v>
      </c>
      <c r="BI111" s="136">
        <f>BI210</f>
        <v>916596</v>
      </c>
      <c r="BJ111" s="136">
        <f>BJ210</f>
        <v>1587276</v>
      </c>
    </row>
    <row r="112" spans="2:63" x14ac:dyDescent="0.2">
      <c r="C112" s="43" t="s">
        <v>12</v>
      </c>
      <c r="AW112" s="133">
        <f t="shared" ref="AW112:BD112" si="197">AW108-AW110+AW111</f>
        <v>-375342.16426525643</v>
      </c>
      <c r="AX112" s="133">
        <f t="shared" si="197"/>
        <v>-252672.25686015503</v>
      </c>
      <c r="AY112" s="133">
        <f t="shared" si="197"/>
        <v>-203042.60197679655</v>
      </c>
      <c r="AZ112" s="133">
        <f t="shared" si="197"/>
        <v>-388202.16760690091</v>
      </c>
      <c r="BA112" s="133">
        <f t="shared" si="197"/>
        <v>-374098.94919206563</v>
      </c>
      <c r="BB112" s="133">
        <f t="shared" si="197"/>
        <v>-180590.01836874243</v>
      </c>
      <c r="BC112" s="133">
        <f t="shared" si="197"/>
        <v>-56299.234934203647</v>
      </c>
      <c r="BD112" s="133">
        <f t="shared" si="197"/>
        <v>186950.01411934104</v>
      </c>
      <c r="BF112" s="133">
        <f>BF108-BF110+BF111</f>
        <v>-1219259.190709109</v>
      </c>
      <c r="BG112" s="133">
        <f>BG108-BG110+BG111</f>
        <v>-424038.18837566976</v>
      </c>
      <c r="BH112" s="133">
        <f>BH108-BH110+BH111</f>
        <v>3090237.2424775455</v>
      </c>
      <c r="BI112" s="133">
        <f>BI108-BI110+BI111</f>
        <v>8312227.6371075483</v>
      </c>
      <c r="BJ112" s="133">
        <f>BJ108-BJ110+BJ111</f>
        <v>17821385.678170305</v>
      </c>
    </row>
    <row r="114" spans="2:63" x14ac:dyDescent="0.2">
      <c r="C114" s="64" t="s">
        <v>377</v>
      </c>
      <c r="D114" s="158"/>
      <c r="E114" s="159"/>
      <c r="F114" s="159"/>
      <c r="G114" s="158"/>
      <c r="H114" s="158"/>
      <c r="I114" s="158"/>
      <c r="J114" s="158"/>
      <c r="K114" s="158"/>
      <c r="AW114" s="158"/>
      <c r="AX114" s="158"/>
      <c r="AY114" s="158"/>
      <c r="AZ114" s="158"/>
      <c r="BA114" s="158"/>
      <c r="BB114" s="158"/>
      <c r="BC114" s="158"/>
      <c r="BD114" s="158"/>
      <c r="BF114" s="158"/>
      <c r="BG114" s="158"/>
      <c r="BH114" s="158"/>
      <c r="BI114" s="158"/>
      <c r="BJ114" s="158"/>
    </row>
    <row r="116" spans="2:63" x14ac:dyDescent="0.2">
      <c r="C116" s="145" t="s">
        <v>378</v>
      </c>
      <c r="BA116" s="255">
        <f>IFERROR((BA16/AW16-1),"na")</f>
        <v>14.99053414469236</v>
      </c>
      <c r="BB116" s="255">
        <f>IFERROR((BB16/AX16-1),"na")</f>
        <v>4.249492689525991</v>
      </c>
      <c r="BC116" s="255">
        <f>IFERROR((BC16/AY16-1),"na")</f>
        <v>4.1676054944930652</v>
      </c>
      <c r="BD116" s="255">
        <f>IFERROR((BD16/AZ16-1),"na")</f>
        <v>2.4010256410256412</v>
      </c>
      <c r="BF116" s="255"/>
      <c r="BG116" s="255">
        <f>IFERROR((BG16/BF16-1),"na")</f>
        <v>3.976084977667476</v>
      </c>
      <c r="BH116" s="255">
        <f>IFERROR((BH16/BG16-1),"na")</f>
        <v>0.91490615759677651</v>
      </c>
      <c r="BI116" s="255">
        <f>IFERROR((BI16/BH16-1),"na")</f>
        <v>1.0684440907282138</v>
      </c>
      <c r="BJ116" s="255">
        <f>IFERROR((BJ16/BI16-1),"na")</f>
        <v>0.93978453251250471</v>
      </c>
    </row>
    <row r="117" spans="2:63" x14ac:dyDescent="0.2">
      <c r="C117" s="145" t="s">
        <v>380</v>
      </c>
      <c r="AW117" s="255">
        <f>IFERROR('Sales, COGS, Sales Team'!AW36/'Sales, COGS, Sales Team'!AW$71,"na")</f>
        <v>0.15517241379310345</v>
      </c>
      <c r="AX117" s="255">
        <f>IFERROR('Sales, COGS, Sales Team'!AX36/'Sales, COGS, Sales Team'!AX$71,"na")</f>
        <v>7.9608720536968644E-2</v>
      </c>
      <c r="AY117" s="255">
        <f>IFERROR('Sales, COGS, Sales Team'!AY36/'Sales, COGS, Sales Team'!AY$71,"na")</f>
        <v>0.17635214295588814</v>
      </c>
      <c r="AZ117" s="255">
        <f>IFERROR('Sales, COGS, Sales Team'!AZ36/'Sales, COGS, Sales Team'!AZ$71,"na")</f>
        <v>0.24615384615384611</v>
      </c>
      <c r="BA117" s="255">
        <f>IFERROR('Sales, COGS, Sales Team'!BA36/'Sales, COGS, Sales Team'!BA$71,"na")</f>
        <v>0.17124735729386889</v>
      </c>
      <c r="BB117" s="255">
        <f>IFERROR('Sales, COGS, Sales Team'!BB36/'Sales, COGS, Sales Team'!BB$71,"na")</f>
        <v>0.2180592724749727</v>
      </c>
      <c r="BC117" s="255">
        <f>IFERROR('Sales, COGS, Sales Team'!BC36/'Sales, COGS, Sales Team'!BC$71,"na")</f>
        <v>0.22583694544657651</v>
      </c>
      <c r="BD117" s="255">
        <f>IFERROR('Sales, COGS, Sales Team'!BD36/'Sales, COGS, Sales Team'!BD$71,"na")</f>
        <v>0.23160434258142337</v>
      </c>
      <c r="BF117" s="255">
        <f>IFERROR('Sales, COGS, Sales Team'!BF36/'Sales, COGS, Sales Team'!BF$71,"na")</f>
        <v>0.1862710483203783</v>
      </c>
      <c r="BG117" s="255">
        <f>IFERROR('Sales, COGS, Sales Team'!BG36/'Sales, COGS, Sales Team'!BG$71,"na")</f>
        <v>0.21602701777902353</v>
      </c>
      <c r="BH117" s="255">
        <f>IFERROR('Sales, COGS, Sales Team'!BH36/'Sales, COGS, Sales Team'!BH$71,"na")</f>
        <v>0.20055710306406685</v>
      </c>
      <c r="BI117" s="255">
        <f>IFERROR('Sales, COGS, Sales Team'!BI36/'Sales, COGS, Sales Team'!BI$71,"na")</f>
        <v>0.18930357829934588</v>
      </c>
      <c r="BJ117" s="255">
        <f>IFERROR('Sales, COGS, Sales Team'!BJ36/'Sales, COGS, Sales Team'!BJ$71,"na")</f>
        <v>0.16899732222552807</v>
      </c>
    </row>
    <row r="118" spans="2:63" x14ac:dyDescent="0.2">
      <c r="C118" s="145" t="s">
        <v>381</v>
      </c>
      <c r="AW118" s="255">
        <f>IFERROR('Sales, COGS, Sales Team'!AW56/'Sales, COGS, Sales Team'!AW$71,"na")</f>
        <v>0.84482758620689657</v>
      </c>
      <c r="AX118" s="255">
        <f>IFERROR('Sales, COGS, Sales Team'!AX56/'Sales, COGS, Sales Team'!AX$71,"na")</f>
        <v>0.92039127946303134</v>
      </c>
      <c r="AY118" s="255">
        <f>IFERROR('Sales, COGS, Sales Team'!AY56/'Sales, COGS, Sales Team'!AY$71,"na")</f>
        <v>0.82364785704411192</v>
      </c>
      <c r="AZ118" s="255">
        <f>IFERROR('Sales, COGS, Sales Team'!AZ56/'Sales, COGS, Sales Team'!AZ$71,"na")</f>
        <v>0.75384615384615383</v>
      </c>
      <c r="BA118" s="255">
        <f>IFERROR('Sales, COGS, Sales Team'!BA56/'Sales, COGS, Sales Team'!BA$71,"na")</f>
        <v>0.82875264270613114</v>
      </c>
      <c r="BB118" s="255">
        <f>IFERROR('Sales, COGS, Sales Team'!BB56/'Sales, COGS, Sales Team'!BB$71,"na")</f>
        <v>0.7819407275250273</v>
      </c>
      <c r="BC118" s="255">
        <f>IFERROR('Sales, COGS, Sales Team'!BC56/'Sales, COGS, Sales Team'!BC$71,"na")</f>
        <v>0.77416305455342349</v>
      </c>
      <c r="BD118" s="255">
        <f>IFERROR('Sales, COGS, Sales Team'!BD56/'Sales, COGS, Sales Team'!BD$71,"na")</f>
        <v>0.76839565741857663</v>
      </c>
      <c r="BF118" s="255">
        <f>IFERROR('Sales, COGS, Sales Team'!BF56/'Sales, COGS, Sales Team'!BF$71,"na")</f>
        <v>0.81372895167962167</v>
      </c>
      <c r="BG118" s="255">
        <f>IFERROR('Sales, COGS, Sales Team'!BG56/'Sales, COGS, Sales Team'!BG$71,"na")</f>
        <v>0.78397298222097644</v>
      </c>
      <c r="BH118" s="255">
        <f>IFERROR('Sales, COGS, Sales Team'!BH56/'Sales, COGS, Sales Team'!BH$71,"na")</f>
        <v>0.79944289693593329</v>
      </c>
      <c r="BI118" s="255">
        <f>IFERROR('Sales, COGS, Sales Team'!BI56/'Sales, COGS, Sales Team'!BI$71,"na")</f>
        <v>0.81069642170065415</v>
      </c>
      <c r="BJ118" s="255">
        <f>IFERROR('Sales, COGS, Sales Team'!BJ56/'Sales, COGS, Sales Team'!BJ$71,"na")</f>
        <v>0.8310026777744719</v>
      </c>
    </row>
    <row r="119" spans="2:63" x14ac:dyDescent="0.2">
      <c r="C119" s="145"/>
      <c r="AW119" s="255"/>
      <c r="BA119" s="255"/>
      <c r="BB119" s="255"/>
      <c r="BC119" s="255"/>
      <c r="BD119" s="255"/>
      <c r="BF119" s="255"/>
      <c r="BG119" s="255"/>
      <c r="BH119" s="255"/>
      <c r="BI119" s="255"/>
      <c r="BJ119" s="255"/>
    </row>
    <row r="120" spans="2:63" x14ac:dyDescent="0.2">
      <c r="B120" s="144"/>
      <c r="C120" s="145" t="s">
        <v>1</v>
      </c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4"/>
      <c r="Q120" s="144"/>
      <c r="R120" s="144"/>
      <c r="S120" s="144"/>
      <c r="T120" s="144"/>
      <c r="U120" s="144"/>
      <c r="V120" s="144"/>
      <c r="W120" s="144"/>
      <c r="X120" s="144"/>
      <c r="Y120" s="144"/>
      <c r="Z120" s="144"/>
      <c r="AA120" s="144"/>
      <c r="AB120" s="144"/>
      <c r="AC120" s="144"/>
      <c r="AD120" s="144"/>
      <c r="AE120" s="144"/>
      <c r="AF120" s="144"/>
      <c r="AG120" s="144"/>
      <c r="AH120" s="144"/>
      <c r="AI120" s="144"/>
      <c r="AJ120" s="144"/>
      <c r="AK120" s="144"/>
      <c r="AL120" s="144"/>
      <c r="AM120" s="144"/>
      <c r="AN120" s="144"/>
      <c r="AO120" s="144"/>
      <c r="AP120" s="144"/>
      <c r="AQ120" s="144"/>
      <c r="AR120" s="144"/>
      <c r="AS120" s="144"/>
      <c r="AT120" s="144"/>
      <c r="AU120" s="144"/>
      <c r="AV120" s="144"/>
      <c r="AW120" s="255">
        <f t="shared" ref="AW120:BD120" si="198">IFERROR(AW18/AW16,"na")</f>
        <v>0.73678837513061657</v>
      </c>
      <c r="AX120" s="255">
        <f t="shared" si="198"/>
        <v>0.73425304312178452</v>
      </c>
      <c r="AY120" s="255">
        <f t="shared" si="198"/>
        <v>0.73749900272134039</v>
      </c>
      <c r="AZ120" s="255">
        <f t="shared" si="198"/>
        <v>0.73984100699300703</v>
      </c>
      <c r="BA120" s="255">
        <f t="shared" si="198"/>
        <v>0.73732772567108718</v>
      </c>
      <c r="BB120" s="255">
        <f t="shared" si="198"/>
        <v>0.73889837080288467</v>
      </c>
      <c r="BC120" s="255">
        <f t="shared" si="198"/>
        <v>0.73915932923926353</v>
      </c>
      <c r="BD120" s="255">
        <f t="shared" si="198"/>
        <v>0.73935283839602295</v>
      </c>
      <c r="BE120" s="146"/>
      <c r="BF120" s="255">
        <f>IFERROR(BF18/BF16,"na")</f>
        <v>0.73783180432459072</v>
      </c>
      <c r="BG120" s="255">
        <f>IFERROR(BG18/BG16,"na")</f>
        <v>0.73883018408306311</v>
      </c>
      <c r="BH120" s="255">
        <f>IFERROR(BH18/BH16,"na")</f>
        <v>0.73831113362032574</v>
      </c>
      <c r="BI120" s="255">
        <f>IFERROR(BI18/BI16,"na")</f>
        <v>0.73793355253185966</v>
      </c>
      <c r="BJ120" s="255">
        <f>IFERROR(BJ18/BJ16,"na")</f>
        <v>0.73725223192953038</v>
      </c>
      <c r="BK120" s="144"/>
    </row>
    <row r="121" spans="2:63" x14ac:dyDescent="0.2">
      <c r="B121" s="144"/>
      <c r="C121" s="145" t="s">
        <v>123</v>
      </c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4"/>
      <c r="Q121" s="144"/>
      <c r="R121" s="144"/>
      <c r="S121" s="144"/>
      <c r="T121" s="144"/>
      <c r="U121" s="144"/>
      <c r="V121" s="144"/>
      <c r="W121" s="144"/>
      <c r="X121" s="144"/>
      <c r="Y121" s="144"/>
      <c r="Z121" s="144"/>
      <c r="AA121" s="144"/>
      <c r="AB121" s="144"/>
      <c r="AC121" s="144"/>
      <c r="AD121" s="144"/>
      <c r="AE121" s="144"/>
      <c r="AF121" s="144"/>
      <c r="AG121" s="144"/>
      <c r="AH121" s="144"/>
      <c r="AI121" s="144"/>
      <c r="AJ121" s="144"/>
      <c r="AK121" s="144"/>
      <c r="AL121" s="144"/>
      <c r="AM121" s="144"/>
      <c r="AN121" s="144"/>
      <c r="AO121" s="144"/>
      <c r="AP121" s="144"/>
      <c r="AQ121" s="144"/>
      <c r="AR121" s="144"/>
      <c r="AS121" s="144"/>
      <c r="AT121" s="144"/>
      <c r="AU121" s="144"/>
      <c r="AV121" s="144"/>
      <c r="AW121" s="255">
        <f t="shared" ref="AW121:BD121" si="199">IFERROR(AW105/AW16,"na")</f>
        <v>-6.2708364499889697</v>
      </c>
      <c r="AX121" s="255">
        <f t="shared" si="199"/>
        <v>-1.0613887759296674</v>
      </c>
      <c r="AY121" s="255">
        <f t="shared" si="199"/>
        <v>-0.69944106703724374</v>
      </c>
      <c r="AZ121" s="255">
        <f t="shared" si="199"/>
        <v>-0.7758687614161599</v>
      </c>
      <c r="BA121" s="255">
        <f t="shared" si="199"/>
        <v>-0.36425394942479972</v>
      </c>
      <c r="BB121" s="255">
        <f t="shared" si="199"/>
        <v>-0.11505283170205978</v>
      </c>
      <c r="BC121" s="255">
        <f t="shared" si="199"/>
        <v>9.9424768063610235E-3</v>
      </c>
      <c r="BD121" s="255">
        <f t="shared" si="199"/>
        <v>0.19362454032487539</v>
      </c>
      <c r="BE121" s="146"/>
      <c r="BF121" s="255">
        <f>IFERROR(BF105/BF16,"na")</f>
        <v>-1.1263359446550678</v>
      </c>
      <c r="BG121" s="255">
        <f>IFERROR(BG105/BG16,"na")</f>
        <v>-2.8305026301542951E-2</v>
      </c>
      <c r="BH121" s="255">
        <f>IFERROR(BH105/BH16,"na")</f>
        <v>0.38498457984808954</v>
      </c>
      <c r="BI121" s="255">
        <f>IFERROR(BI105/BI16,"na")</f>
        <v>0.5117557200084295</v>
      </c>
      <c r="BJ121" s="255">
        <f>IFERROR(BJ105/BJ16,"na")</f>
        <v>0.57307641737857495</v>
      </c>
      <c r="BK121" s="144"/>
    </row>
    <row r="122" spans="2:63" x14ac:dyDescent="0.2">
      <c r="C122" s="145" t="s">
        <v>379</v>
      </c>
      <c r="AW122" s="255">
        <f t="shared" ref="AW122:BD122" si="200">IFERROR(AW112/AW16,"na")</f>
        <v>-6.2661986204435163</v>
      </c>
      <c r="AX122" s="255">
        <f t="shared" si="200"/>
        <v>-1.0820578866470445</v>
      </c>
      <c r="AY122" s="255">
        <f t="shared" si="200"/>
        <v>-0.72232304466125052</v>
      </c>
      <c r="AZ122" s="255">
        <f t="shared" si="200"/>
        <v>-0.78648112462303432</v>
      </c>
      <c r="BA122" s="255">
        <f t="shared" si="200"/>
        <v>-0.39057129349522679</v>
      </c>
      <c r="BB122" s="255">
        <f t="shared" si="200"/>
        <v>-0.14732258893277189</v>
      </c>
      <c r="BC122" s="255">
        <f t="shared" si="200"/>
        <v>-3.8757650506080606E-2</v>
      </c>
      <c r="BD122" s="255">
        <f t="shared" si="200"/>
        <v>0.11136428784901697</v>
      </c>
      <c r="BF122" s="255">
        <f>IFERROR(BF112/BF16,"na")</f>
        <v>-1.1415207495499224</v>
      </c>
      <c r="BG122" s="255">
        <f>IFERROR(BG112/BG16,"na")</f>
        <v>-7.9782006453036985E-2</v>
      </c>
      <c r="BH122" s="255">
        <f>IFERROR(BH112/BH16,"na")</f>
        <v>0.30362974188319952</v>
      </c>
      <c r="BI122" s="255">
        <f>IFERROR(BI112/BI16,"na")</f>
        <v>0.39484453361015143</v>
      </c>
      <c r="BJ122" s="255">
        <f>IFERROR(BJ112/BJ16,"na")</f>
        <v>0.43641199471963693</v>
      </c>
    </row>
    <row r="124" spans="2:63" x14ac:dyDescent="0.2">
      <c r="B124" s="11" t="s">
        <v>171</v>
      </c>
      <c r="C124" s="11"/>
      <c r="D124" s="12"/>
      <c r="E124" s="12"/>
      <c r="F124" s="12"/>
      <c r="G124" s="13"/>
      <c r="H124" s="13"/>
      <c r="I124" s="13"/>
      <c r="J124" s="13"/>
      <c r="K124" s="13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W124" s="12"/>
      <c r="AX124" s="12"/>
      <c r="AY124" s="12"/>
      <c r="AZ124" s="12"/>
      <c r="BA124" s="12"/>
      <c r="BB124" s="12"/>
      <c r="BC124" s="12"/>
      <c r="BD124" s="12"/>
      <c r="BF124" s="12"/>
      <c r="BG124" s="12"/>
      <c r="BH124" s="12"/>
      <c r="BI124" s="12"/>
      <c r="BJ124" s="12"/>
    </row>
    <row r="125" spans="2:63" x14ac:dyDescent="0.2">
      <c r="C125" s="14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W125" s="10"/>
      <c r="AX125" s="10"/>
      <c r="AY125" s="10"/>
      <c r="AZ125" s="10"/>
      <c r="BA125" s="10"/>
      <c r="BB125" s="10"/>
      <c r="BC125" s="10"/>
      <c r="BD125" s="10"/>
      <c r="BF125" s="10"/>
      <c r="BG125" s="10"/>
      <c r="BH125" s="10"/>
      <c r="BI125" s="10"/>
      <c r="BJ125" s="10"/>
    </row>
    <row r="126" spans="2:63" ht="13.5" thickBot="1" x14ac:dyDescent="0.25">
      <c r="C126" s="15" t="s">
        <v>44</v>
      </c>
      <c r="D126" s="16"/>
      <c r="E126" s="16"/>
      <c r="F126" s="16"/>
      <c r="G126" s="16"/>
      <c r="H126" s="16"/>
      <c r="I126" s="16"/>
      <c r="J126" s="16"/>
      <c r="K126" s="16"/>
      <c r="L126" s="17">
        <v>44957</v>
      </c>
      <c r="M126" s="17">
        <f t="shared" ref="M126:AU126" si="201">EOMONTH(L126,1)</f>
        <v>44985</v>
      </c>
      <c r="N126" s="17">
        <f t="shared" si="201"/>
        <v>45016</v>
      </c>
      <c r="O126" s="17">
        <f t="shared" si="201"/>
        <v>45046</v>
      </c>
      <c r="P126" s="17">
        <f t="shared" si="201"/>
        <v>45077</v>
      </c>
      <c r="Q126" s="17">
        <f t="shared" si="201"/>
        <v>45107</v>
      </c>
      <c r="R126" s="17">
        <f t="shared" si="201"/>
        <v>45138</v>
      </c>
      <c r="S126" s="17">
        <f t="shared" si="201"/>
        <v>45169</v>
      </c>
      <c r="T126" s="17">
        <f t="shared" si="201"/>
        <v>45199</v>
      </c>
      <c r="U126" s="17">
        <f t="shared" si="201"/>
        <v>45230</v>
      </c>
      <c r="V126" s="17">
        <f t="shared" si="201"/>
        <v>45260</v>
      </c>
      <c r="W126" s="17">
        <f t="shared" si="201"/>
        <v>45291</v>
      </c>
      <c r="X126" s="17">
        <f t="shared" si="201"/>
        <v>45322</v>
      </c>
      <c r="Y126" s="17">
        <f t="shared" si="201"/>
        <v>45351</v>
      </c>
      <c r="Z126" s="17">
        <f t="shared" si="201"/>
        <v>45382</v>
      </c>
      <c r="AA126" s="17">
        <f t="shared" si="201"/>
        <v>45412</v>
      </c>
      <c r="AB126" s="17">
        <f t="shared" si="201"/>
        <v>45443</v>
      </c>
      <c r="AC126" s="17">
        <f t="shared" si="201"/>
        <v>45473</v>
      </c>
      <c r="AD126" s="17">
        <f t="shared" si="201"/>
        <v>45504</v>
      </c>
      <c r="AE126" s="17">
        <f t="shared" si="201"/>
        <v>45535</v>
      </c>
      <c r="AF126" s="17">
        <f t="shared" si="201"/>
        <v>45565</v>
      </c>
      <c r="AG126" s="17">
        <f t="shared" si="201"/>
        <v>45596</v>
      </c>
      <c r="AH126" s="17">
        <f t="shared" si="201"/>
        <v>45626</v>
      </c>
      <c r="AI126" s="17">
        <f t="shared" si="201"/>
        <v>45657</v>
      </c>
      <c r="AJ126" s="17">
        <f t="shared" si="201"/>
        <v>45688</v>
      </c>
      <c r="AK126" s="17">
        <f t="shared" si="201"/>
        <v>45716</v>
      </c>
      <c r="AL126" s="17">
        <f t="shared" si="201"/>
        <v>45747</v>
      </c>
      <c r="AM126" s="17">
        <f t="shared" si="201"/>
        <v>45777</v>
      </c>
      <c r="AN126" s="17">
        <f t="shared" si="201"/>
        <v>45808</v>
      </c>
      <c r="AO126" s="17">
        <f t="shared" si="201"/>
        <v>45838</v>
      </c>
      <c r="AP126" s="17">
        <f t="shared" si="201"/>
        <v>45869</v>
      </c>
      <c r="AQ126" s="17">
        <f t="shared" si="201"/>
        <v>45900</v>
      </c>
      <c r="AR126" s="17">
        <f t="shared" si="201"/>
        <v>45930</v>
      </c>
      <c r="AS126" s="17">
        <f t="shared" si="201"/>
        <v>45961</v>
      </c>
      <c r="AT126" s="17">
        <f t="shared" si="201"/>
        <v>45991</v>
      </c>
      <c r="AU126" s="17">
        <f t="shared" si="201"/>
        <v>46022</v>
      </c>
      <c r="AV126" s="42">
        <f>EOMONTH(AW126,-3)</f>
        <v>45291</v>
      </c>
      <c r="AW126" s="17">
        <v>45382</v>
      </c>
      <c r="AX126" s="17">
        <f t="shared" ref="AX126:BD126" si="202">EOMONTH(AW126,3)</f>
        <v>45473</v>
      </c>
      <c r="AY126" s="17">
        <f t="shared" si="202"/>
        <v>45565</v>
      </c>
      <c r="AZ126" s="17">
        <f t="shared" si="202"/>
        <v>45657</v>
      </c>
      <c r="BA126" s="17">
        <f t="shared" si="202"/>
        <v>45747</v>
      </c>
      <c r="BB126" s="17">
        <f t="shared" si="202"/>
        <v>45838</v>
      </c>
      <c r="BC126" s="17">
        <f t="shared" si="202"/>
        <v>45930</v>
      </c>
      <c r="BD126" s="17">
        <f t="shared" si="202"/>
        <v>46022</v>
      </c>
      <c r="BE126" s="42">
        <f>EOMONTH(BF126,-12)</f>
        <v>45291</v>
      </c>
      <c r="BF126" s="17">
        <v>45657</v>
      </c>
      <c r="BG126" s="17">
        <f>EOMONTH(BF126,12)</f>
        <v>46022</v>
      </c>
      <c r="BH126" s="17">
        <f>EOMONTH(BG126,12)</f>
        <v>46387</v>
      </c>
      <c r="BI126" s="17">
        <f>EOMONTH(BH126,12)</f>
        <v>46752</v>
      </c>
      <c r="BJ126" s="17">
        <f>EOMONTH(BI126,12)</f>
        <v>47118</v>
      </c>
    </row>
    <row r="127" spans="2:63" x14ac:dyDescent="0.2">
      <c r="C127" s="18" t="s">
        <v>52</v>
      </c>
      <c r="D127" s="18"/>
      <c r="E127" s="18"/>
      <c r="F127" s="18"/>
      <c r="G127" s="18"/>
      <c r="H127" s="18"/>
      <c r="I127" s="18"/>
      <c r="J127" s="18"/>
      <c r="K127" s="18"/>
      <c r="L127" s="27">
        <v>1</v>
      </c>
      <c r="M127" s="28">
        <f t="shared" ref="M127:AU127" si="203">L127+1</f>
        <v>2</v>
      </c>
      <c r="N127" s="28">
        <f t="shared" si="203"/>
        <v>3</v>
      </c>
      <c r="O127" s="28">
        <f t="shared" si="203"/>
        <v>4</v>
      </c>
      <c r="P127" s="28">
        <f t="shared" si="203"/>
        <v>5</v>
      </c>
      <c r="Q127" s="28">
        <f t="shared" si="203"/>
        <v>6</v>
      </c>
      <c r="R127" s="28">
        <f t="shared" si="203"/>
        <v>7</v>
      </c>
      <c r="S127" s="28">
        <f t="shared" si="203"/>
        <v>8</v>
      </c>
      <c r="T127" s="28">
        <f t="shared" si="203"/>
        <v>9</v>
      </c>
      <c r="U127" s="28">
        <f t="shared" si="203"/>
        <v>10</v>
      </c>
      <c r="V127" s="28">
        <f t="shared" si="203"/>
        <v>11</v>
      </c>
      <c r="W127" s="28">
        <f t="shared" si="203"/>
        <v>12</v>
      </c>
      <c r="X127" s="28">
        <f t="shared" si="203"/>
        <v>13</v>
      </c>
      <c r="Y127" s="28">
        <f t="shared" si="203"/>
        <v>14</v>
      </c>
      <c r="Z127" s="28">
        <f t="shared" si="203"/>
        <v>15</v>
      </c>
      <c r="AA127" s="28">
        <f t="shared" si="203"/>
        <v>16</v>
      </c>
      <c r="AB127" s="28">
        <f t="shared" si="203"/>
        <v>17</v>
      </c>
      <c r="AC127" s="28">
        <f t="shared" si="203"/>
        <v>18</v>
      </c>
      <c r="AD127" s="28">
        <f t="shared" si="203"/>
        <v>19</v>
      </c>
      <c r="AE127" s="28">
        <f t="shared" si="203"/>
        <v>20</v>
      </c>
      <c r="AF127" s="28">
        <f t="shared" si="203"/>
        <v>21</v>
      </c>
      <c r="AG127" s="28">
        <f t="shared" si="203"/>
        <v>22</v>
      </c>
      <c r="AH127" s="28">
        <f t="shared" si="203"/>
        <v>23</v>
      </c>
      <c r="AI127" s="28">
        <f t="shared" si="203"/>
        <v>24</v>
      </c>
      <c r="AJ127" s="28">
        <f t="shared" si="203"/>
        <v>25</v>
      </c>
      <c r="AK127" s="28">
        <f t="shared" si="203"/>
        <v>26</v>
      </c>
      <c r="AL127" s="28">
        <f t="shared" si="203"/>
        <v>27</v>
      </c>
      <c r="AM127" s="28">
        <f t="shared" si="203"/>
        <v>28</v>
      </c>
      <c r="AN127" s="28">
        <f t="shared" si="203"/>
        <v>29</v>
      </c>
      <c r="AO127" s="28">
        <f t="shared" si="203"/>
        <v>30</v>
      </c>
      <c r="AP127" s="28">
        <f t="shared" si="203"/>
        <v>31</v>
      </c>
      <c r="AQ127" s="28">
        <f t="shared" si="203"/>
        <v>32</v>
      </c>
      <c r="AR127" s="28">
        <f t="shared" si="203"/>
        <v>33</v>
      </c>
      <c r="AS127" s="28">
        <f t="shared" si="203"/>
        <v>34</v>
      </c>
      <c r="AT127" s="28">
        <f t="shared" si="203"/>
        <v>35</v>
      </c>
      <c r="AU127" s="28">
        <f t="shared" si="203"/>
        <v>36</v>
      </c>
      <c r="AW127" s="41">
        <f t="shared" ref="AW127:BD127" si="204">AV127+1</f>
        <v>1</v>
      </c>
      <c r="AX127" s="41">
        <f t="shared" si="204"/>
        <v>2</v>
      </c>
      <c r="AY127" s="41">
        <f t="shared" si="204"/>
        <v>3</v>
      </c>
      <c r="AZ127" s="41">
        <f t="shared" si="204"/>
        <v>4</v>
      </c>
      <c r="BA127" s="41">
        <f t="shared" si="204"/>
        <v>5</v>
      </c>
      <c r="BB127" s="41">
        <f t="shared" si="204"/>
        <v>6</v>
      </c>
      <c r="BC127" s="41">
        <f t="shared" si="204"/>
        <v>7</v>
      </c>
      <c r="BD127" s="41">
        <f t="shared" si="204"/>
        <v>8</v>
      </c>
      <c r="BF127" s="44">
        <f>BE127+1</f>
        <v>1</v>
      </c>
      <c r="BG127" s="44">
        <f>BF127+1</f>
        <v>2</v>
      </c>
      <c r="BH127" s="44">
        <f>BG127+1</f>
        <v>3</v>
      </c>
      <c r="BI127" s="44">
        <f>BH127+1</f>
        <v>4</v>
      </c>
      <c r="BJ127" s="44">
        <f>BI127+1</f>
        <v>5</v>
      </c>
    </row>
    <row r="128" spans="2:63" x14ac:dyDescent="0.2">
      <c r="C128" s="19" t="s">
        <v>53</v>
      </c>
      <c r="D128" s="20"/>
      <c r="E128" s="20"/>
      <c r="F128" s="20"/>
      <c r="G128" s="20"/>
      <c r="H128" s="20"/>
      <c r="I128" s="20"/>
      <c r="J128" s="20"/>
      <c r="K128" s="20"/>
      <c r="L128" s="21">
        <f t="shared" ref="L128:AU128" si="205">L126</f>
        <v>44957</v>
      </c>
      <c r="M128" s="21">
        <f t="shared" si="205"/>
        <v>44985</v>
      </c>
      <c r="N128" s="21">
        <f t="shared" si="205"/>
        <v>45016</v>
      </c>
      <c r="O128" s="21">
        <f t="shared" si="205"/>
        <v>45046</v>
      </c>
      <c r="P128" s="21">
        <f t="shared" si="205"/>
        <v>45077</v>
      </c>
      <c r="Q128" s="21">
        <f t="shared" si="205"/>
        <v>45107</v>
      </c>
      <c r="R128" s="21">
        <f t="shared" si="205"/>
        <v>45138</v>
      </c>
      <c r="S128" s="21">
        <f t="shared" si="205"/>
        <v>45169</v>
      </c>
      <c r="T128" s="21">
        <f t="shared" si="205"/>
        <v>45199</v>
      </c>
      <c r="U128" s="21">
        <f t="shared" si="205"/>
        <v>45230</v>
      </c>
      <c r="V128" s="21">
        <f t="shared" si="205"/>
        <v>45260</v>
      </c>
      <c r="W128" s="21">
        <f t="shared" si="205"/>
        <v>45291</v>
      </c>
      <c r="X128" s="21">
        <f t="shared" si="205"/>
        <v>45322</v>
      </c>
      <c r="Y128" s="21">
        <f t="shared" si="205"/>
        <v>45351</v>
      </c>
      <c r="Z128" s="21">
        <f t="shared" si="205"/>
        <v>45382</v>
      </c>
      <c r="AA128" s="21">
        <f t="shared" si="205"/>
        <v>45412</v>
      </c>
      <c r="AB128" s="21">
        <f t="shared" si="205"/>
        <v>45443</v>
      </c>
      <c r="AC128" s="21">
        <f t="shared" si="205"/>
        <v>45473</v>
      </c>
      <c r="AD128" s="21">
        <f t="shared" si="205"/>
        <v>45504</v>
      </c>
      <c r="AE128" s="21">
        <f t="shared" si="205"/>
        <v>45535</v>
      </c>
      <c r="AF128" s="21">
        <f t="shared" si="205"/>
        <v>45565</v>
      </c>
      <c r="AG128" s="21">
        <f t="shared" si="205"/>
        <v>45596</v>
      </c>
      <c r="AH128" s="21">
        <f t="shared" si="205"/>
        <v>45626</v>
      </c>
      <c r="AI128" s="21">
        <f t="shared" si="205"/>
        <v>45657</v>
      </c>
      <c r="AJ128" s="21">
        <f t="shared" si="205"/>
        <v>45688</v>
      </c>
      <c r="AK128" s="21">
        <f t="shared" si="205"/>
        <v>45716</v>
      </c>
      <c r="AL128" s="21">
        <f t="shared" si="205"/>
        <v>45747</v>
      </c>
      <c r="AM128" s="21">
        <f t="shared" si="205"/>
        <v>45777</v>
      </c>
      <c r="AN128" s="21">
        <f t="shared" si="205"/>
        <v>45808</v>
      </c>
      <c r="AO128" s="21">
        <f t="shared" si="205"/>
        <v>45838</v>
      </c>
      <c r="AP128" s="21">
        <f t="shared" si="205"/>
        <v>45869</v>
      </c>
      <c r="AQ128" s="21">
        <f t="shared" si="205"/>
        <v>45900</v>
      </c>
      <c r="AR128" s="21">
        <f t="shared" si="205"/>
        <v>45930</v>
      </c>
      <c r="AS128" s="21">
        <f t="shared" si="205"/>
        <v>45961</v>
      </c>
      <c r="AT128" s="21">
        <f t="shared" si="205"/>
        <v>45991</v>
      </c>
      <c r="AU128" s="21">
        <f t="shared" si="205"/>
        <v>46022</v>
      </c>
      <c r="AV128" s="14" t="s">
        <v>259</v>
      </c>
      <c r="AW128" s="21">
        <f t="shared" ref="AW128:BD128" si="206">AW126</f>
        <v>45382</v>
      </c>
      <c r="AX128" s="21">
        <f t="shared" si="206"/>
        <v>45473</v>
      </c>
      <c r="AY128" s="21">
        <f t="shared" si="206"/>
        <v>45565</v>
      </c>
      <c r="AZ128" s="21">
        <f t="shared" si="206"/>
        <v>45657</v>
      </c>
      <c r="BA128" s="21">
        <f t="shared" si="206"/>
        <v>45747</v>
      </c>
      <c r="BB128" s="21">
        <f t="shared" si="206"/>
        <v>45838</v>
      </c>
      <c r="BC128" s="21">
        <f t="shared" si="206"/>
        <v>45930</v>
      </c>
      <c r="BD128" s="21">
        <f t="shared" si="206"/>
        <v>46022</v>
      </c>
      <c r="BF128" s="21">
        <f>BF126</f>
        <v>45657</v>
      </c>
      <c r="BG128" s="21">
        <f>BG126</f>
        <v>46022</v>
      </c>
      <c r="BH128" s="21">
        <f>BH126</f>
        <v>46387</v>
      </c>
      <c r="BI128" s="21">
        <f>BI126</f>
        <v>46752</v>
      </c>
      <c r="BJ128" s="21">
        <f>BJ126</f>
        <v>47118</v>
      </c>
    </row>
    <row r="129" spans="3:62" x14ac:dyDescent="0.2">
      <c r="C129" s="22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W129" s="10"/>
      <c r="AX129" s="10"/>
      <c r="AY129" s="10"/>
      <c r="AZ129" s="10"/>
      <c r="BA129" s="10"/>
      <c r="BB129" s="10"/>
      <c r="BC129" s="10"/>
      <c r="BD129" s="10"/>
      <c r="BF129" s="10"/>
      <c r="BG129" s="10"/>
      <c r="BH129" s="10"/>
      <c r="BI129" s="10"/>
      <c r="BJ129" s="10"/>
    </row>
    <row r="130" spans="3:62" x14ac:dyDescent="0.2">
      <c r="C130" s="68" t="s">
        <v>172</v>
      </c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W130" s="10"/>
      <c r="AX130" s="10"/>
      <c r="AY130" s="10"/>
      <c r="AZ130" s="10"/>
      <c r="BA130" s="10"/>
      <c r="BB130" s="10"/>
      <c r="BC130" s="10"/>
      <c r="BD130" s="10"/>
      <c r="BF130" s="10"/>
      <c r="BG130" s="10"/>
      <c r="BH130" s="10"/>
      <c r="BI130" s="10"/>
      <c r="BJ130" s="10"/>
    </row>
    <row r="131" spans="3:62" x14ac:dyDescent="0.2">
      <c r="C131" s="63" t="s">
        <v>173</v>
      </c>
      <c r="AV131" s="87">
        <f>28542.81+SUM($L$252:$W$252)</f>
        <v>683542.81</v>
      </c>
      <c r="AW131" s="136">
        <f t="shared" ref="AW131:BD131" si="207">AW190</f>
        <v>2188165.344437792</v>
      </c>
      <c r="AX131" s="136">
        <f t="shared" si="207"/>
        <v>1826528.169483948</v>
      </c>
      <c r="AY131" s="136">
        <f t="shared" si="207"/>
        <v>1586281.4771342317</v>
      </c>
      <c r="AZ131" s="136">
        <f t="shared" si="207"/>
        <v>1235793.2339602115</v>
      </c>
      <c r="BA131" s="136">
        <f t="shared" si="207"/>
        <v>722847.91849363875</v>
      </c>
      <c r="BB131" s="136">
        <f t="shared" si="207"/>
        <v>372603.21238226898</v>
      </c>
      <c r="BC131" s="136">
        <f t="shared" si="207"/>
        <v>185383.32541462415</v>
      </c>
      <c r="BD131" s="136">
        <f t="shared" si="207"/>
        <v>163026.02859688632</v>
      </c>
      <c r="BE131" s="138"/>
      <c r="BF131" s="136">
        <f>BF190</f>
        <v>1235793.2339602117</v>
      </c>
      <c r="BG131" s="136">
        <f>BG190</f>
        <v>163026.02859688736</v>
      </c>
      <c r="BH131" s="136">
        <f>BH190</f>
        <v>2700500.4806779474</v>
      </c>
      <c r="BI131" s="136">
        <f>BI190</f>
        <v>9463935.3975333162</v>
      </c>
      <c r="BJ131" s="136">
        <f>BJ190</f>
        <v>24458155.602639973</v>
      </c>
    </row>
    <row r="132" spans="3:62" x14ac:dyDescent="0.2">
      <c r="C132" s="63" t="s">
        <v>174</v>
      </c>
      <c r="AV132" s="87">
        <v>7768.6200000000026</v>
      </c>
      <c r="AW132" s="136">
        <f t="shared" ref="AW132:BD132" si="208">AW233</f>
        <v>29620.631868131873</v>
      </c>
      <c r="AX132" s="136">
        <f t="shared" si="208"/>
        <v>115472.39835164836</v>
      </c>
      <c r="AY132" s="136">
        <f t="shared" si="208"/>
        <v>137492.93604619568</v>
      </c>
      <c r="AZ132" s="136">
        <f t="shared" si="208"/>
        <v>241431.7255434783</v>
      </c>
      <c r="BA132" s="136">
        <f t="shared" si="208"/>
        <v>478912.50000000006</v>
      </c>
      <c r="BB132" s="136">
        <f t="shared" si="208"/>
        <v>606171.51098901115</v>
      </c>
      <c r="BC132" s="136">
        <f t="shared" si="208"/>
        <v>710509.25176630437</v>
      </c>
      <c r="BD132" s="136">
        <f t="shared" si="208"/>
        <v>821115.48913043493</v>
      </c>
      <c r="BE132" s="138"/>
      <c r="BF132" s="136">
        <f>BF233</f>
        <v>241431.7255434783</v>
      </c>
      <c r="BG132" s="136">
        <f>BG233</f>
        <v>821115.48913043493</v>
      </c>
      <c r="BH132" s="136">
        <f>BH233</f>
        <v>1254778.7671232875</v>
      </c>
      <c r="BI132" s="136">
        <f>BI233</f>
        <v>2595439.7260273974</v>
      </c>
      <c r="BJ132" s="136">
        <f>BJ233</f>
        <v>5020838.1147540994</v>
      </c>
    </row>
    <row r="133" spans="3:62" x14ac:dyDescent="0.2">
      <c r="C133" s="63" t="s">
        <v>175</v>
      </c>
      <c r="AV133" s="87">
        <v>10799</v>
      </c>
      <c r="AW133" s="136">
        <f t="shared" ref="AW133:BD133" si="209">AV133</f>
        <v>10799</v>
      </c>
      <c r="AX133" s="136">
        <f t="shared" si="209"/>
        <v>10799</v>
      </c>
      <c r="AY133" s="136">
        <f t="shared" si="209"/>
        <v>10799</v>
      </c>
      <c r="AZ133" s="136">
        <f t="shared" si="209"/>
        <v>10799</v>
      </c>
      <c r="BA133" s="136">
        <f t="shared" si="209"/>
        <v>10799</v>
      </c>
      <c r="BB133" s="136">
        <f t="shared" si="209"/>
        <v>10799</v>
      </c>
      <c r="BC133" s="136">
        <f t="shared" si="209"/>
        <v>10799</v>
      </c>
      <c r="BD133" s="136">
        <f t="shared" si="209"/>
        <v>10799</v>
      </c>
      <c r="BE133" s="138"/>
      <c r="BF133" s="136">
        <f>AV133</f>
        <v>10799</v>
      </c>
      <c r="BG133" s="136">
        <f>BF133</f>
        <v>10799</v>
      </c>
      <c r="BH133" s="136">
        <f>BG133</f>
        <v>10799</v>
      </c>
      <c r="BI133" s="136">
        <f>BH133</f>
        <v>10799</v>
      </c>
      <c r="BJ133" s="136">
        <f>BI133</f>
        <v>10799</v>
      </c>
    </row>
    <row r="134" spans="3:62" x14ac:dyDescent="0.2">
      <c r="C134" s="63" t="s">
        <v>176</v>
      </c>
      <c r="AV134" s="87">
        <v>77119.97</v>
      </c>
      <c r="AW134" s="136">
        <f t="shared" ref="AW134:BD134" si="210">AW235</f>
        <v>7796.4946436688324</v>
      </c>
      <c r="AX134" s="136">
        <f t="shared" si="210"/>
        <v>30686.438465379619</v>
      </c>
      <c r="AY134" s="136">
        <f t="shared" si="210"/>
        <v>36092.032830897333</v>
      </c>
      <c r="AZ134" s="136">
        <f t="shared" si="210"/>
        <v>62810.634597332013</v>
      </c>
      <c r="BA134" s="136">
        <f t="shared" si="210"/>
        <v>125797.03557954545</v>
      </c>
      <c r="BB134" s="136">
        <f t="shared" si="210"/>
        <v>158272.36909210793</v>
      </c>
      <c r="BC134" s="136">
        <f t="shared" si="210"/>
        <v>185329.70981243183</v>
      </c>
      <c r="BD134" s="136">
        <f t="shared" si="210"/>
        <v>214021.4215909091</v>
      </c>
      <c r="BE134" s="138"/>
      <c r="BF134" s="136">
        <f>BF235</f>
        <v>62810.634597332013</v>
      </c>
      <c r="BG134" s="136">
        <f>BG235</f>
        <v>214021.4215909091</v>
      </c>
      <c r="BH134" s="136">
        <f>BH235</f>
        <v>328361.63312577829</v>
      </c>
      <c r="BI134" s="136">
        <f>BI235</f>
        <v>680177.6686176837</v>
      </c>
      <c r="BJ134" s="136">
        <f>BJ235</f>
        <v>1319214.0084947839</v>
      </c>
    </row>
    <row r="135" spans="3:62" x14ac:dyDescent="0.2">
      <c r="C135" s="129" t="s">
        <v>177</v>
      </c>
      <c r="AV135" s="172">
        <f t="shared" ref="AV135:BD135" si="211">SUM(AV131:AV134)</f>
        <v>779230.4</v>
      </c>
      <c r="AW135" s="25">
        <f t="shared" si="211"/>
        <v>2236381.4709495925</v>
      </c>
      <c r="AX135" s="25">
        <f t="shared" si="211"/>
        <v>1983486.006300976</v>
      </c>
      <c r="AY135" s="25">
        <f t="shared" si="211"/>
        <v>1770665.4460113246</v>
      </c>
      <c r="AZ135" s="25">
        <f t="shared" si="211"/>
        <v>1550834.5941010218</v>
      </c>
      <c r="BA135" s="25">
        <f t="shared" si="211"/>
        <v>1338356.4540731842</v>
      </c>
      <c r="BB135" s="25">
        <f t="shared" si="211"/>
        <v>1147846.0924633881</v>
      </c>
      <c r="BC135" s="25">
        <f t="shared" si="211"/>
        <v>1092021.2869933604</v>
      </c>
      <c r="BD135" s="25">
        <f t="shared" si="211"/>
        <v>1208961.9393182304</v>
      </c>
      <c r="BE135" s="139"/>
      <c r="BF135" s="25">
        <f>SUM(BF131:BF134)</f>
        <v>1550834.594101022</v>
      </c>
      <c r="BG135" s="25">
        <f>SUM(BG131:BG134)</f>
        <v>1208961.9393182313</v>
      </c>
      <c r="BH135" s="25">
        <f>SUM(BH131:BH134)</f>
        <v>4294439.8809270132</v>
      </c>
      <c r="BI135" s="25">
        <f>SUM(BI131:BI134)</f>
        <v>12750351.792178398</v>
      </c>
      <c r="BJ135" s="25">
        <f>SUM(BJ131:BJ134)</f>
        <v>30809006.725888856</v>
      </c>
    </row>
    <row r="136" spans="3:62" x14ac:dyDescent="0.2">
      <c r="C136" s="62"/>
      <c r="AV136" s="86"/>
      <c r="AW136" s="24"/>
      <c r="AX136" s="24"/>
      <c r="AY136" s="24"/>
      <c r="AZ136" s="24"/>
      <c r="BA136" s="24"/>
      <c r="BB136" s="24"/>
      <c r="BC136" s="24"/>
      <c r="BD136" s="24"/>
      <c r="BE136" s="138"/>
      <c r="BF136" s="24"/>
      <c r="BG136" s="24"/>
      <c r="BH136" s="24"/>
      <c r="BI136" s="24"/>
      <c r="BJ136" s="24"/>
    </row>
    <row r="137" spans="3:62" x14ac:dyDescent="0.2">
      <c r="C137" s="130" t="s">
        <v>178</v>
      </c>
      <c r="AV137" s="86"/>
      <c r="AW137" s="24"/>
      <c r="AX137" s="24"/>
      <c r="AY137" s="24"/>
      <c r="AZ137" s="24"/>
      <c r="BA137" s="24"/>
      <c r="BB137" s="24"/>
      <c r="BC137" s="24"/>
      <c r="BD137" s="24"/>
      <c r="BE137" s="138"/>
      <c r="BF137" s="24"/>
      <c r="BG137" s="24"/>
      <c r="BH137" s="24"/>
      <c r="BI137" s="24"/>
      <c r="BJ137" s="24"/>
    </row>
    <row r="138" spans="3:62" x14ac:dyDescent="0.2">
      <c r="C138" s="63" t="s">
        <v>179</v>
      </c>
      <c r="AV138" s="87">
        <v>117284.96</v>
      </c>
      <c r="AW138" s="136">
        <f t="shared" ref="AW138:BD140" si="212">AV138</f>
        <v>117284.96</v>
      </c>
      <c r="AX138" s="136">
        <f t="shared" si="212"/>
        <v>117284.96</v>
      </c>
      <c r="AY138" s="136">
        <f t="shared" si="212"/>
        <v>117284.96</v>
      </c>
      <c r="AZ138" s="136">
        <f t="shared" si="212"/>
        <v>117284.96</v>
      </c>
      <c r="BA138" s="136">
        <f t="shared" si="212"/>
        <v>117284.96</v>
      </c>
      <c r="BB138" s="136">
        <f t="shared" si="212"/>
        <v>117284.96</v>
      </c>
      <c r="BC138" s="136">
        <f t="shared" si="212"/>
        <v>117284.96</v>
      </c>
      <c r="BD138" s="136">
        <f t="shared" si="212"/>
        <v>117284.96</v>
      </c>
      <c r="BE138" s="138"/>
      <c r="BF138" s="136">
        <f>AV138</f>
        <v>117284.96</v>
      </c>
      <c r="BG138" s="136">
        <f t="shared" ref="BG138:BJ140" si="213">BF138</f>
        <v>117284.96</v>
      </c>
      <c r="BH138" s="136">
        <f t="shared" si="213"/>
        <v>117284.96</v>
      </c>
      <c r="BI138" s="136">
        <f t="shared" si="213"/>
        <v>117284.96</v>
      </c>
      <c r="BJ138" s="136">
        <f t="shared" si="213"/>
        <v>117284.96</v>
      </c>
    </row>
    <row r="139" spans="3:62" x14ac:dyDescent="0.2">
      <c r="C139" s="63" t="s">
        <v>180</v>
      </c>
      <c r="AV139" s="87">
        <v>34108.050000000003</v>
      </c>
      <c r="AW139" s="136">
        <f t="shared" si="212"/>
        <v>34108.050000000003</v>
      </c>
      <c r="AX139" s="136">
        <f t="shared" si="212"/>
        <v>34108.050000000003</v>
      </c>
      <c r="AY139" s="136">
        <f t="shared" si="212"/>
        <v>34108.050000000003</v>
      </c>
      <c r="AZ139" s="136">
        <f t="shared" si="212"/>
        <v>34108.050000000003</v>
      </c>
      <c r="BA139" s="136">
        <f t="shared" si="212"/>
        <v>34108.050000000003</v>
      </c>
      <c r="BB139" s="136">
        <f t="shared" si="212"/>
        <v>34108.050000000003</v>
      </c>
      <c r="BC139" s="136">
        <f t="shared" si="212"/>
        <v>34108.050000000003</v>
      </c>
      <c r="BD139" s="136">
        <f t="shared" si="212"/>
        <v>34108.050000000003</v>
      </c>
      <c r="BE139" s="138"/>
      <c r="BF139" s="136">
        <f>AV139</f>
        <v>34108.050000000003</v>
      </c>
      <c r="BG139" s="136">
        <f t="shared" si="213"/>
        <v>34108.050000000003</v>
      </c>
      <c r="BH139" s="136">
        <f t="shared" si="213"/>
        <v>34108.050000000003</v>
      </c>
      <c r="BI139" s="136">
        <f t="shared" si="213"/>
        <v>34108.050000000003</v>
      </c>
      <c r="BJ139" s="136">
        <f t="shared" si="213"/>
        <v>34108.050000000003</v>
      </c>
    </row>
    <row r="140" spans="3:62" x14ac:dyDescent="0.2">
      <c r="C140" s="63" t="s">
        <v>181</v>
      </c>
      <c r="AV140" s="87">
        <v>-26842</v>
      </c>
      <c r="AW140" s="136">
        <f t="shared" si="212"/>
        <v>-26842</v>
      </c>
      <c r="AX140" s="136">
        <f t="shared" si="212"/>
        <v>-26842</v>
      </c>
      <c r="AY140" s="136">
        <f t="shared" si="212"/>
        <v>-26842</v>
      </c>
      <c r="AZ140" s="136">
        <f t="shared" si="212"/>
        <v>-26842</v>
      </c>
      <c r="BA140" s="136">
        <f t="shared" si="212"/>
        <v>-26842</v>
      </c>
      <c r="BB140" s="136">
        <f t="shared" si="212"/>
        <v>-26842</v>
      </c>
      <c r="BC140" s="136">
        <f t="shared" si="212"/>
        <v>-26842</v>
      </c>
      <c r="BD140" s="136">
        <f t="shared" si="212"/>
        <v>-26842</v>
      </c>
      <c r="BE140" s="138"/>
      <c r="BF140" s="136">
        <f>AV140</f>
        <v>-26842</v>
      </c>
      <c r="BG140" s="136">
        <f t="shared" si="213"/>
        <v>-26842</v>
      </c>
      <c r="BH140" s="136">
        <f t="shared" si="213"/>
        <v>-26842</v>
      </c>
      <c r="BI140" s="136">
        <f t="shared" si="213"/>
        <v>-26842</v>
      </c>
      <c r="BJ140" s="136">
        <f t="shared" si="213"/>
        <v>-26842</v>
      </c>
    </row>
    <row r="141" spans="3:62" x14ac:dyDescent="0.2">
      <c r="C141" s="129" t="s">
        <v>182</v>
      </c>
      <c r="AV141" s="172">
        <f t="shared" ref="AV141:BD141" si="214">SUM(AV138:AV140)</f>
        <v>124551.01000000001</v>
      </c>
      <c r="AW141" s="25">
        <f t="shared" si="214"/>
        <v>124551.01000000001</v>
      </c>
      <c r="AX141" s="25">
        <f t="shared" si="214"/>
        <v>124551.01000000001</v>
      </c>
      <c r="AY141" s="25">
        <f t="shared" si="214"/>
        <v>124551.01000000001</v>
      </c>
      <c r="AZ141" s="25">
        <f t="shared" si="214"/>
        <v>124551.01000000001</v>
      </c>
      <c r="BA141" s="25">
        <f t="shared" si="214"/>
        <v>124551.01000000001</v>
      </c>
      <c r="BB141" s="25">
        <f t="shared" si="214"/>
        <v>124551.01000000001</v>
      </c>
      <c r="BC141" s="25">
        <f t="shared" si="214"/>
        <v>124551.01000000001</v>
      </c>
      <c r="BD141" s="25">
        <f t="shared" si="214"/>
        <v>124551.01000000001</v>
      </c>
      <c r="BE141" s="139"/>
      <c r="BF141" s="25">
        <f>SUM(BF138:BF140)</f>
        <v>124551.01000000001</v>
      </c>
      <c r="BG141" s="25">
        <f>SUM(BG138:BG140)</f>
        <v>124551.01000000001</v>
      </c>
      <c r="BH141" s="25">
        <f>SUM(BH138:BH140)</f>
        <v>124551.01000000001</v>
      </c>
      <c r="BI141" s="25">
        <f>SUM(BI138:BI140)</f>
        <v>124551.01000000001</v>
      </c>
      <c r="BJ141" s="25">
        <f>SUM(BJ138:BJ140)</f>
        <v>124551.01000000001</v>
      </c>
    </row>
    <row r="142" spans="3:62" x14ac:dyDescent="0.2">
      <c r="C142" s="62"/>
      <c r="AV142" s="86"/>
      <c r="AW142" s="24"/>
      <c r="AX142" s="24"/>
      <c r="AY142" s="24"/>
      <c r="AZ142" s="24"/>
      <c r="BA142" s="24"/>
      <c r="BB142" s="24"/>
      <c r="BC142" s="24"/>
      <c r="BD142" s="24"/>
      <c r="BE142" s="138"/>
      <c r="BF142" s="24"/>
      <c r="BG142" s="24"/>
      <c r="BH142" s="24"/>
      <c r="BI142" s="24"/>
      <c r="BJ142" s="24"/>
    </row>
    <row r="143" spans="3:62" x14ac:dyDescent="0.2">
      <c r="C143" s="131" t="s">
        <v>183</v>
      </c>
      <c r="AV143" s="186">
        <f t="shared" ref="AV143:BD143" si="215">SUM(AV141,AV135)</f>
        <v>903781.41</v>
      </c>
      <c r="AW143" s="133">
        <f t="shared" si="215"/>
        <v>2360932.4809495928</v>
      </c>
      <c r="AX143" s="133">
        <f t="shared" si="215"/>
        <v>2108037.0163009763</v>
      </c>
      <c r="AY143" s="133">
        <f t="shared" si="215"/>
        <v>1895216.4560113247</v>
      </c>
      <c r="AZ143" s="133">
        <f t="shared" si="215"/>
        <v>1675385.6041010218</v>
      </c>
      <c r="BA143" s="133">
        <f t="shared" si="215"/>
        <v>1462907.4640731842</v>
      </c>
      <c r="BB143" s="133">
        <f t="shared" si="215"/>
        <v>1272397.1024633881</v>
      </c>
      <c r="BC143" s="133">
        <f t="shared" si="215"/>
        <v>1216572.2969933604</v>
      </c>
      <c r="BD143" s="133">
        <f t="shared" si="215"/>
        <v>1333512.9493182304</v>
      </c>
      <c r="BE143" s="139"/>
      <c r="BF143" s="133">
        <f>SUM(BF141,BF135)</f>
        <v>1675385.604101022</v>
      </c>
      <c r="BG143" s="133">
        <f>SUM(BG141,BG135)</f>
        <v>1333512.9493182313</v>
      </c>
      <c r="BH143" s="133">
        <f>SUM(BH141,BH135)</f>
        <v>4418990.890927013</v>
      </c>
      <c r="BI143" s="133">
        <f>SUM(BI141,BI135)</f>
        <v>12874902.802178398</v>
      </c>
      <c r="BJ143" s="133">
        <f>SUM(BJ141,BJ135)</f>
        <v>30933557.735888857</v>
      </c>
    </row>
    <row r="144" spans="3:62" x14ac:dyDescent="0.2">
      <c r="C144" s="62"/>
      <c r="AV144" s="86"/>
      <c r="AW144" s="24"/>
      <c r="AX144" s="24"/>
      <c r="AY144" s="24"/>
      <c r="AZ144" s="24"/>
      <c r="BA144" s="24"/>
      <c r="BB144" s="24"/>
      <c r="BC144" s="24"/>
      <c r="BD144" s="24"/>
      <c r="BE144" s="138"/>
      <c r="BF144" s="24"/>
      <c r="BG144" s="24"/>
      <c r="BH144" s="24"/>
      <c r="BI144" s="24"/>
      <c r="BJ144" s="24"/>
    </row>
    <row r="145" spans="3:62" x14ac:dyDescent="0.2">
      <c r="C145" s="130" t="s">
        <v>184</v>
      </c>
      <c r="AV145" s="86"/>
      <c r="AW145" s="24"/>
      <c r="AX145" s="24"/>
      <c r="AY145" s="24"/>
      <c r="AZ145" s="24"/>
      <c r="BA145" s="24"/>
      <c r="BB145" s="24"/>
      <c r="BC145" s="24"/>
      <c r="BD145" s="24"/>
      <c r="BE145" s="138"/>
      <c r="BF145" s="24"/>
      <c r="BG145" s="24"/>
      <c r="BH145" s="24"/>
      <c r="BI145" s="24"/>
      <c r="BJ145" s="24"/>
    </row>
    <row r="146" spans="3:62" x14ac:dyDescent="0.2">
      <c r="C146" s="63" t="s">
        <v>185</v>
      </c>
      <c r="AV146" s="87">
        <v>5077.04</v>
      </c>
      <c r="AW146" s="136">
        <f t="shared" ref="AW146:BD146" si="216">AW238</f>
        <v>207570.27521484927</v>
      </c>
      <c r="AX146" s="136">
        <f t="shared" si="216"/>
        <v>207347.06742638774</v>
      </c>
      <c r="AY146" s="136">
        <f t="shared" si="216"/>
        <v>197569.10911353296</v>
      </c>
      <c r="AZ146" s="136">
        <f t="shared" si="216"/>
        <v>365940.42481013102</v>
      </c>
      <c r="BA146" s="136">
        <f t="shared" si="216"/>
        <v>527561.233974359</v>
      </c>
      <c r="BB146" s="136">
        <f t="shared" si="216"/>
        <v>517640.89073330519</v>
      </c>
      <c r="BC146" s="136">
        <f t="shared" si="216"/>
        <v>518115.32019748114</v>
      </c>
      <c r="BD146" s="136">
        <f t="shared" si="216"/>
        <v>448105.9584030101</v>
      </c>
      <c r="BE146" s="138"/>
      <c r="BF146" s="136">
        <f>BF238</f>
        <v>365940.42481013102</v>
      </c>
      <c r="BG146" s="136">
        <f>BG238</f>
        <v>448105.9584030101</v>
      </c>
      <c r="BH146" s="136">
        <f>BH238</f>
        <v>443346.65753424657</v>
      </c>
      <c r="BI146" s="136">
        <f>BI238</f>
        <v>587030.9316780821</v>
      </c>
      <c r="BJ146" s="136">
        <f>BJ238</f>
        <v>824300.18721823778</v>
      </c>
    </row>
    <row r="147" spans="3:62" x14ac:dyDescent="0.2">
      <c r="C147" s="63" t="s">
        <v>368</v>
      </c>
      <c r="AV147" s="87">
        <v>-20000</v>
      </c>
      <c r="AW147" s="136">
        <f t="shared" ref="AW147:BD149" si="217">AV147</f>
        <v>-20000</v>
      </c>
      <c r="AX147" s="136">
        <f t="shared" si="217"/>
        <v>-20000</v>
      </c>
      <c r="AY147" s="136">
        <f t="shared" si="217"/>
        <v>-20000</v>
      </c>
      <c r="AZ147" s="136">
        <f t="shared" si="217"/>
        <v>-20000</v>
      </c>
      <c r="BA147" s="136">
        <f t="shared" si="217"/>
        <v>-20000</v>
      </c>
      <c r="BB147" s="136">
        <f t="shared" si="217"/>
        <v>-20000</v>
      </c>
      <c r="BC147" s="136">
        <f t="shared" si="217"/>
        <v>-20000</v>
      </c>
      <c r="BD147" s="136">
        <f t="shared" si="217"/>
        <v>-20000</v>
      </c>
      <c r="BE147" s="138"/>
      <c r="BF147" s="136">
        <f>AV147</f>
        <v>-20000</v>
      </c>
      <c r="BG147" s="136">
        <f t="shared" ref="BG147:BJ149" si="218">BF147</f>
        <v>-20000</v>
      </c>
      <c r="BH147" s="136">
        <f t="shared" si="218"/>
        <v>-20000</v>
      </c>
      <c r="BI147" s="136">
        <f t="shared" si="218"/>
        <v>-20000</v>
      </c>
      <c r="BJ147" s="136">
        <f t="shared" si="218"/>
        <v>-20000</v>
      </c>
    </row>
    <row r="148" spans="3:62" x14ac:dyDescent="0.2">
      <c r="C148" s="63" t="s">
        <v>63</v>
      </c>
      <c r="AV148" s="87">
        <v>5836.59</v>
      </c>
      <c r="AW148" s="136">
        <f t="shared" si="217"/>
        <v>5836.59</v>
      </c>
      <c r="AX148" s="136">
        <f t="shared" si="217"/>
        <v>5836.59</v>
      </c>
      <c r="AY148" s="136">
        <f t="shared" si="217"/>
        <v>5836.59</v>
      </c>
      <c r="AZ148" s="136">
        <f t="shared" si="217"/>
        <v>5836.59</v>
      </c>
      <c r="BA148" s="136">
        <f t="shared" si="217"/>
        <v>5836.59</v>
      </c>
      <c r="BB148" s="136">
        <f t="shared" si="217"/>
        <v>5836.59</v>
      </c>
      <c r="BC148" s="136">
        <f t="shared" si="217"/>
        <v>5836.59</v>
      </c>
      <c r="BD148" s="136">
        <f t="shared" si="217"/>
        <v>5836.59</v>
      </c>
      <c r="BE148" s="138"/>
      <c r="BF148" s="136">
        <f>AV148</f>
        <v>5836.59</v>
      </c>
      <c r="BG148" s="136">
        <f t="shared" si="218"/>
        <v>5836.59</v>
      </c>
      <c r="BH148" s="136">
        <f t="shared" si="218"/>
        <v>5836.59</v>
      </c>
      <c r="BI148" s="136">
        <f t="shared" si="218"/>
        <v>5836.59</v>
      </c>
      <c r="BJ148" s="136">
        <f t="shared" si="218"/>
        <v>5836.59</v>
      </c>
    </row>
    <row r="149" spans="3:62" x14ac:dyDescent="0.2">
      <c r="C149" s="63" t="s">
        <v>186</v>
      </c>
      <c r="AV149" s="87">
        <v>2931.96</v>
      </c>
      <c r="AW149" s="136">
        <f t="shared" si="217"/>
        <v>2931.96</v>
      </c>
      <c r="AX149" s="136">
        <f t="shared" si="217"/>
        <v>2931.96</v>
      </c>
      <c r="AY149" s="136">
        <f t="shared" si="217"/>
        <v>2931.96</v>
      </c>
      <c r="AZ149" s="136">
        <f t="shared" si="217"/>
        <v>2931.96</v>
      </c>
      <c r="BA149" s="136">
        <f t="shared" si="217"/>
        <v>2931.96</v>
      </c>
      <c r="BB149" s="136">
        <f t="shared" si="217"/>
        <v>2931.96</v>
      </c>
      <c r="BC149" s="136">
        <f t="shared" si="217"/>
        <v>2931.96</v>
      </c>
      <c r="BD149" s="136">
        <f t="shared" si="217"/>
        <v>2931.96</v>
      </c>
      <c r="BE149" s="138"/>
      <c r="BF149" s="136">
        <f>AV149</f>
        <v>2931.96</v>
      </c>
      <c r="BG149" s="136">
        <f t="shared" si="218"/>
        <v>2931.96</v>
      </c>
      <c r="BH149" s="136">
        <f t="shared" si="218"/>
        <v>2931.96</v>
      </c>
      <c r="BI149" s="136">
        <f t="shared" si="218"/>
        <v>2931.96</v>
      </c>
      <c r="BJ149" s="136">
        <f t="shared" si="218"/>
        <v>2931.96</v>
      </c>
    </row>
    <row r="150" spans="3:62" x14ac:dyDescent="0.2">
      <c r="C150" s="129" t="s">
        <v>187</v>
      </c>
      <c r="AV150" s="172">
        <f t="shared" ref="AV150:BD150" si="219">SUM(AV146:AV149)</f>
        <v>-6154.4099999999989</v>
      </c>
      <c r="AW150" s="25">
        <f t="shared" si="219"/>
        <v>196338.82521484926</v>
      </c>
      <c r="AX150" s="25">
        <f t="shared" si="219"/>
        <v>196115.61742638773</v>
      </c>
      <c r="AY150" s="25">
        <f t="shared" si="219"/>
        <v>186337.65911353295</v>
      </c>
      <c r="AZ150" s="25">
        <f t="shared" si="219"/>
        <v>354708.97481013107</v>
      </c>
      <c r="BA150" s="25">
        <f t="shared" si="219"/>
        <v>516329.78397435904</v>
      </c>
      <c r="BB150" s="25">
        <f t="shared" si="219"/>
        <v>506409.44073330524</v>
      </c>
      <c r="BC150" s="25">
        <f t="shared" si="219"/>
        <v>506883.87019748118</v>
      </c>
      <c r="BD150" s="25">
        <f t="shared" si="219"/>
        <v>436874.50840301014</v>
      </c>
      <c r="BE150" s="139"/>
      <c r="BF150" s="25">
        <f>SUM(BF146:BF149)</f>
        <v>354708.97481013107</v>
      </c>
      <c r="BG150" s="25">
        <f>SUM(BG146:BG149)</f>
        <v>436874.50840301014</v>
      </c>
      <c r="BH150" s="25">
        <f>SUM(BH146:BH149)</f>
        <v>432115.20753424661</v>
      </c>
      <c r="BI150" s="25">
        <f>SUM(BI146:BI149)</f>
        <v>575799.48167808203</v>
      </c>
      <c r="BJ150" s="25">
        <f>SUM(BJ146:BJ149)</f>
        <v>813068.73721823771</v>
      </c>
    </row>
    <row r="151" spans="3:62" x14ac:dyDescent="0.2">
      <c r="C151" s="62"/>
      <c r="AV151" s="86"/>
      <c r="AW151" s="24"/>
      <c r="AX151" s="24"/>
      <c r="AY151" s="24"/>
      <c r="AZ151" s="24"/>
      <c r="BA151" s="24"/>
      <c r="BB151" s="24"/>
      <c r="BC151" s="24"/>
      <c r="BD151" s="24"/>
      <c r="BE151" s="138"/>
      <c r="BF151" s="24"/>
      <c r="BG151" s="24"/>
      <c r="BH151" s="24"/>
      <c r="BI151" s="24"/>
      <c r="BJ151" s="24"/>
    </row>
    <row r="152" spans="3:62" x14ac:dyDescent="0.2">
      <c r="C152" s="130" t="s">
        <v>188</v>
      </c>
      <c r="AV152" s="86"/>
      <c r="AW152" s="24"/>
      <c r="AX152" s="24"/>
      <c r="AY152" s="24"/>
      <c r="AZ152" s="24"/>
      <c r="BA152" s="24"/>
      <c r="BB152" s="24"/>
      <c r="BC152" s="24"/>
      <c r="BD152" s="24"/>
      <c r="BE152" s="138"/>
      <c r="BF152" s="24"/>
      <c r="BG152" s="24"/>
      <c r="BH152" s="24"/>
      <c r="BI152" s="24"/>
      <c r="BJ152" s="24"/>
    </row>
    <row r="153" spans="3:62" x14ac:dyDescent="0.2">
      <c r="C153" s="63" t="s">
        <v>189</v>
      </c>
      <c r="AV153" s="87">
        <f>27080215.83+SUM($L$252:$W$252)+60000+65967</f>
        <v>27861182.829999998</v>
      </c>
      <c r="AW153" s="24">
        <f t="shared" ref="AW153:BD153" si="220">AV153+AW185</f>
        <v>29491182.829999998</v>
      </c>
      <c r="AX153" s="24">
        <f t="shared" si="220"/>
        <v>29491182.829999998</v>
      </c>
      <c r="AY153" s="24">
        <f t="shared" si="220"/>
        <v>29491182.829999998</v>
      </c>
      <c r="AZ153" s="24">
        <f t="shared" si="220"/>
        <v>29491182.829999998</v>
      </c>
      <c r="BA153" s="24">
        <f t="shared" si="220"/>
        <v>29491182.829999998</v>
      </c>
      <c r="BB153" s="24">
        <f t="shared" si="220"/>
        <v>29491182.829999998</v>
      </c>
      <c r="BC153" s="24">
        <f t="shared" si="220"/>
        <v>29491182.829999998</v>
      </c>
      <c r="BD153" s="24">
        <f t="shared" si="220"/>
        <v>29491182.829999998</v>
      </c>
      <c r="BE153" s="138"/>
      <c r="BF153" s="24">
        <f>AV153+BF185</f>
        <v>29491182.829999998</v>
      </c>
      <c r="BG153" s="24">
        <f>BF153+BG185</f>
        <v>29491182.829999998</v>
      </c>
      <c r="BH153" s="24">
        <f>BG153+BH185</f>
        <v>29491182.829999998</v>
      </c>
      <c r="BI153" s="24">
        <f>BH153+BI185</f>
        <v>29491182.829999998</v>
      </c>
      <c r="BJ153" s="24">
        <f>BI153+BJ185</f>
        <v>29491182.829999998</v>
      </c>
    </row>
    <row r="154" spans="3:62" x14ac:dyDescent="0.2">
      <c r="C154" s="63" t="s">
        <v>190</v>
      </c>
      <c r="AV154" s="87">
        <v>3166013</v>
      </c>
      <c r="AW154" s="136">
        <f t="shared" ref="AW154:BD154" si="221">AV154</f>
        <v>3166013</v>
      </c>
      <c r="AX154" s="136">
        <f t="shared" si="221"/>
        <v>3166013</v>
      </c>
      <c r="AY154" s="136">
        <f t="shared" si="221"/>
        <v>3166013</v>
      </c>
      <c r="AZ154" s="136">
        <f t="shared" si="221"/>
        <v>3166013</v>
      </c>
      <c r="BA154" s="136">
        <f t="shared" si="221"/>
        <v>3166013</v>
      </c>
      <c r="BB154" s="136">
        <f t="shared" si="221"/>
        <v>3166013</v>
      </c>
      <c r="BC154" s="136">
        <f t="shared" si="221"/>
        <v>3166013</v>
      </c>
      <c r="BD154" s="136">
        <f t="shared" si="221"/>
        <v>3166013</v>
      </c>
      <c r="BE154" s="138"/>
      <c r="BF154" s="136">
        <f>AV154</f>
        <v>3166013</v>
      </c>
      <c r="BG154" s="136">
        <f>BF154</f>
        <v>3166013</v>
      </c>
      <c r="BH154" s="136">
        <f>BG154</f>
        <v>3166013</v>
      </c>
      <c r="BI154" s="136">
        <f>BH154</f>
        <v>3166013</v>
      </c>
      <c r="BJ154" s="136">
        <f>BI154</f>
        <v>3166013</v>
      </c>
    </row>
    <row r="155" spans="3:62" x14ac:dyDescent="0.2">
      <c r="C155" s="63" t="s">
        <v>191</v>
      </c>
      <c r="AV155" s="87">
        <v>-30117259.850000001</v>
      </c>
      <c r="AW155" s="24">
        <f t="shared" ref="AW155:BD155" si="222">AV155+AW169</f>
        <v>-30492602.014265258</v>
      </c>
      <c r="AX155" s="24">
        <f t="shared" si="222"/>
        <v>-30745274.271125413</v>
      </c>
      <c r="AY155" s="24">
        <f t="shared" si="222"/>
        <v>-30948316.87310221</v>
      </c>
      <c r="AZ155" s="24">
        <f t="shared" si="222"/>
        <v>-31336519.040709112</v>
      </c>
      <c r="BA155" s="24">
        <f t="shared" si="222"/>
        <v>-31710617.989901178</v>
      </c>
      <c r="BB155" s="24">
        <f t="shared" si="222"/>
        <v>-31891208.008269921</v>
      </c>
      <c r="BC155" s="24">
        <f t="shared" si="222"/>
        <v>-31947507.243204124</v>
      </c>
      <c r="BD155" s="24">
        <f t="shared" si="222"/>
        <v>-31760557.229084782</v>
      </c>
      <c r="BE155" s="138"/>
      <c r="BF155" s="24">
        <f>AV155+BF169</f>
        <v>-31336519.040709112</v>
      </c>
      <c r="BG155" s="24">
        <f>BF155+BG169</f>
        <v>-31760557.229084782</v>
      </c>
      <c r="BH155" s="24">
        <f>BG155+BH169</f>
        <v>-28670319.986607239</v>
      </c>
      <c r="BI155" s="24">
        <f>BH155+BI169</f>
        <v>-20358092.349499691</v>
      </c>
      <c r="BJ155" s="24">
        <f>BI155+BJ169</f>
        <v>-2536706.6713293865</v>
      </c>
    </row>
    <row r="156" spans="3:62" x14ac:dyDescent="0.2">
      <c r="C156" s="132" t="s">
        <v>192</v>
      </c>
      <c r="AV156" s="186">
        <f t="shared" ref="AV156:BD156" si="223">SUM(AV153:AV155)</f>
        <v>909935.97999999672</v>
      </c>
      <c r="AW156" s="133">
        <f t="shared" si="223"/>
        <v>2164593.8157347403</v>
      </c>
      <c r="AX156" s="133">
        <f t="shared" si="223"/>
        <v>1911921.5588745847</v>
      </c>
      <c r="AY156" s="133">
        <f t="shared" si="223"/>
        <v>1708878.9568977877</v>
      </c>
      <c r="AZ156" s="133">
        <f t="shared" si="223"/>
        <v>1320676.7892908864</v>
      </c>
      <c r="BA156" s="133">
        <f t="shared" si="223"/>
        <v>946577.84009882063</v>
      </c>
      <c r="BB156" s="133">
        <f t="shared" si="223"/>
        <v>765987.82173007727</v>
      </c>
      <c r="BC156" s="133">
        <f t="shared" si="223"/>
        <v>709688.58679587394</v>
      </c>
      <c r="BD156" s="133">
        <f t="shared" si="223"/>
        <v>896638.60091521591</v>
      </c>
      <c r="BE156" s="139"/>
      <c r="BF156" s="133">
        <f>SUM(BF153:BF155)</f>
        <v>1320676.7892908864</v>
      </c>
      <c r="BG156" s="133">
        <f>SUM(BG153:BG155)</f>
        <v>896638.60091521591</v>
      </c>
      <c r="BH156" s="133">
        <f>SUM(BH153:BH155)</f>
        <v>3986875.8433927596</v>
      </c>
      <c r="BI156" s="133">
        <f>SUM(BI153:BI155)</f>
        <v>12299103.480500307</v>
      </c>
      <c r="BJ156" s="133">
        <f>SUM(BJ153:BJ155)</f>
        <v>30120489.158670612</v>
      </c>
    </row>
    <row r="157" spans="3:62" x14ac:dyDescent="0.2">
      <c r="C157" s="131" t="s">
        <v>193</v>
      </c>
      <c r="AV157" s="186">
        <f t="shared" ref="AV157:BD157" si="224">SUM(AV156,AV150)</f>
        <v>903781.56999999669</v>
      </c>
      <c r="AW157" s="133">
        <f t="shared" si="224"/>
        <v>2360932.6409495897</v>
      </c>
      <c r="AX157" s="133">
        <f t="shared" si="224"/>
        <v>2108037.1763009727</v>
      </c>
      <c r="AY157" s="133">
        <f t="shared" si="224"/>
        <v>1895216.6160113206</v>
      </c>
      <c r="AZ157" s="133">
        <f t="shared" si="224"/>
        <v>1675385.7641010175</v>
      </c>
      <c r="BA157" s="133">
        <f t="shared" si="224"/>
        <v>1462907.6240731797</v>
      </c>
      <c r="BB157" s="133">
        <f t="shared" si="224"/>
        <v>1272397.2624633824</v>
      </c>
      <c r="BC157" s="133">
        <f t="shared" si="224"/>
        <v>1216572.4569933552</v>
      </c>
      <c r="BD157" s="133">
        <f t="shared" si="224"/>
        <v>1333513.1093182261</v>
      </c>
      <c r="BE157" s="139"/>
      <c r="BF157" s="133">
        <f>SUM(BF156,BF150)</f>
        <v>1675385.7641010175</v>
      </c>
      <c r="BG157" s="133">
        <f>SUM(BG156,BG150)</f>
        <v>1333513.1093182261</v>
      </c>
      <c r="BH157" s="133">
        <f>SUM(BH156,BH150)</f>
        <v>4418991.0509270057</v>
      </c>
      <c r="BI157" s="133">
        <f>SUM(BI156,BI150)</f>
        <v>12874902.962178389</v>
      </c>
      <c r="BJ157" s="133">
        <f>SUM(BJ156,BJ150)</f>
        <v>30933557.89588885</v>
      </c>
    </row>
    <row r="158" spans="3:62" x14ac:dyDescent="0.2">
      <c r="AV158" s="86"/>
      <c r="AW158" s="24"/>
      <c r="AX158" s="24"/>
      <c r="AY158" s="24"/>
      <c r="AZ158" s="24"/>
      <c r="BA158" s="24"/>
      <c r="BB158" s="24"/>
      <c r="BC158" s="24"/>
      <c r="BD158" s="24"/>
      <c r="BE158" s="138"/>
      <c r="BF158" s="24"/>
      <c r="BG158" s="24"/>
      <c r="BH158" s="24"/>
      <c r="BI158" s="24"/>
      <c r="BJ158" s="24"/>
    </row>
    <row r="159" spans="3:62" x14ac:dyDescent="0.2">
      <c r="C159" s="82" t="s">
        <v>194</v>
      </c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  <c r="AA159" s="82"/>
      <c r="AB159" s="82"/>
      <c r="AC159" s="82"/>
      <c r="AD159" s="82"/>
      <c r="AE159" s="82"/>
      <c r="AF159" s="82"/>
      <c r="AG159" s="82"/>
      <c r="AH159" s="82"/>
      <c r="AI159" s="82"/>
      <c r="AJ159" s="82"/>
      <c r="AK159" s="82"/>
      <c r="AL159" s="82"/>
      <c r="AM159" s="82"/>
      <c r="AN159" s="82"/>
      <c r="AO159" s="82"/>
      <c r="AP159" s="82"/>
      <c r="AQ159" s="82"/>
      <c r="AR159" s="82"/>
      <c r="AS159" s="82"/>
      <c r="AT159" s="82"/>
      <c r="AU159" s="82"/>
      <c r="AV159" s="86">
        <f t="shared" ref="AV159:BD159" si="225">AV157-AV143</f>
        <v>0.15999999665655196</v>
      </c>
      <c r="AW159" s="86">
        <f t="shared" si="225"/>
        <v>0.1599999968893826</v>
      </c>
      <c r="AX159" s="86">
        <f t="shared" si="225"/>
        <v>0.15999999642372131</v>
      </c>
      <c r="AY159" s="86">
        <f t="shared" si="225"/>
        <v>0.15999999595806003</v>
      </c>
      <c r="AZ159" s="86">
        <f t="shared" si="225"/>
        <v>0.15999999572522938</v>
      </c>
      <c r="BA159" s="86">
        <f t="shared" si="225"/>
        <v>0.15999999549239874</v>
      </c>
      <c r="BB159" s="86">
        <f t="shared" si="225"/>
        <v>0.15999999432824552</v>
      </c>
      <c r="BC159" s="86">
        <f t="shared" si="225"/>
        <v>0.15999999479390681</v>
      </c>
      <c r="BD159" s="86">
        <f t="shared" si="225"/>
        <v>0.15999999572522938</v>
      </c>
      <c r="BE159" s="140"/>
      <c r="BF159" s="86">
        <f>BF157-BF143</f>
        <v>0.15999999549239874</v>
      </c>
      <c r="BG159" s="86">
        <f>BG157-BG143</f>
        <v>0.15999999479390681</v>
      </c>
      <c r="BH159" s="86">
        <f>BH157-BH143</f>
        <v>0.15999999269843102</v>
      </c>
      <c r="BI159" s="86">
        <f>BI157-BI143</f>
        <v>0.15999999083578587</v>
      </c>
      <c r="BJ159" s="86">
        <f>BJ157-BJ143</f>
        <v>0.15999999269843102</v>
      </c>
    </row>
    <row r="160" spans="3:62" x14ac:dyDescent="0.2">
      <c r="AV160" s="82"/>
    </row>
    <row r="161" spans="2:62" x14ac:dyDescent="0.2">
      <c r="AV161" s="82"/>
    </row>
    <row r="162" spans="2:62" x14ac:dyDescent="0.2">
      <c r="B162" s="11" t="s">
        <v>195</v>
      </c>
      <c r="C162" s="11"/>
      <c r="D162" s="12"/>
      <c r="E162" s="12"/>
      <c r="F162" s="12"/>
      <c r="G162" s="13"/>
      <c r="H162" s="13"/>
      <c r="I162" s="13"/>
      <c r="J162" s="13"/>
      <c r="K162" s="13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82"/>
      <c r="AW162" s="12"/>
      <c r="AX162" s="12"/>
      <c r="AY162" s="12"/>
      <c r="AZ162" s="12"/>
      <c r="BA162" s="12"/>
      <c r="BB162" s="12"/>
      <c r="BC162" s="12"/>
      <c r="BD162" s="12"/>
      <c r="BF162" s="12"/>
      <c r="BG162" s="12"/>
      <c r="BH162" s="12"/>
      <c r="BI162" s="12"/>
      <c r="BJ162" s="12"/>
    </row>
    <row r="163" spans="2:62" x14ac:dyDescent="0.2">
      <c r="C163" s="14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82"/>
      <c r="AW163" s="10"/>
      <c r="AX163" s="10"/>
      <c r="AY163" s="10"/>
      <c r="AZ163" s="10"/>
      <c r="BA163" s="10"/>
      <c r="BB163" s="10"/>
      <c r="BC163" s="10"/>
      <c r="BD163" s="10"/>
      <c r="BF163" s="10"/>
      <c r="BG163" s="10"/>
      <c r="BH163" s="10"/>
      <c r="BI163" s="10"/>
      <c r="BJ163" s="10"/>
    </row>
    <row r="164" spans="2:62" ht="13.5" thickBot="1" x14ac:dyDescent="0.25">
      <c r="C164" s="15" t="s">
        <v>44</v>
      </c>
      <c r="D164" s="16"/>
      <c r="E164" s="16"/>
      <c r="F164" s="16"/>
      <c r="G164" s="16"/>
      <c r="H164" s="16"/>
      <c r="I164" s="16"/>
      <c r="J164" s="16"/>
      <c r="K164" s="16"/>
      <c r="L164" s="17">
        <v>44957</v>
      </c>
      <c r="M164" s="17">
        <f t="shared" ref="M164:AU164" si="226">EOMONTH(L164,1)</f>
        <v>44985</v>
      </c>
      <c r="N164" s="17">
        <f t="shared" si="226"/>
        <v>45016</v>
      </c>
      <c r="O164" s="17">
        <f t="shared" si="226"/>
        <v>45046</v>
      </c>
      <c r="P164" s="17">
        <f t="shared" si="226"/>
        <v>45077</v>
      </c>
      <c r="Q164" s="17">
        <f t="shared" si="226"/>
        <v>45107</v>
      </c>
      <c r="R164" s="17">
        <f t="shared" si="226"/>
        <v>45138</v>
      </c>
      <c r="S164" s="17">
        <f t="shared" si="226"/>
        <v>45169</v>
      </c>
      <c r="T164" s="17">
        <f t="shared" si="226"/>
        <v>45199</v>
      </c>
      <c r="U164" s="17">
        <f t="shared" si="226"/>
        <v>45230</v>
      </c>
      <c r="V164" s="17">
        <f t="shared" si="226"/>
        <v>45260</v>
      </c>
      <c r="W164" s="17">
        <f t="shared" si="226"/>
        <v>45291</v>
      </c>
      <c r="X164" s="17">
        <f t="shared" si="226"/>
        <v>45322</v>
      </c>
      <c r="Y164" s="17">
        <f t="shared" si="226"/>
        <v>45351</v>
      </c>
      <c r="Z164" s="17">
        <f t="shared" si="226"/>
        <v>45382</v>
      </c>
      <c r="AA164" s="17">
        <f t="shared" si="226"/>
        <v>45412</v>
      </c>
      <c r="AB164" s="17">
        <f t="shared" si="226"/>
        <v>45443</v>
      </c>
      <c r="AC164" s="17">
        <f t="shared" si="226"/>
        <v>45473</v>
      </c>
      <c r="AD164" s="17">
        <f t="shared" si="226"/>
        <v>45504</v>
      </c>
      <c r="AE164" s="17">
        <f t="shared" si="226"/>
        <v>45535</v>
      </c>
      <c r="AF164" s="17">
        <f t="shared" si="226"/>
        <v>45565</v>
      </c>
      <c r="AG164" s="17">
        <f t="shared" si="226"/>
        <v>45596</v>
      </c>
      <c r="AH164" s="17">
        <f t="shared" si="226"/>
        <v>45626</v>
      </c>
      <c r="AI164" s="17">
        <f t="shared" si="226"/>
        <v>45657</v>
      </c>
      <c r="AJ164" s="17">
        <f t="shared" si="226"/>
        <v>45688</v>
      </c>
      <c r="AK164" s="17">
        <f t="shared" si="226"/>
        <v>45716</v>
      </c>
      <c r="AL164" s="17">
        <f t="shared" si="226"/>
        <v>45747</v>
      </c>
      <c r="AM164" s="17">
        <f t="shared" si="226"/>
        <v>45777</v>
      </c>
      <c r="AN164" s="17">
        <f t="shared" si="226"/>
        <v>45808</v>
      </c>
      <c r="AO164" s="17">
        <f t="shared" si="226"/>
        <v>45838</v>
      </c>
      <c r="AP164" s="17">
        <f t="shared" si="226"/>
        <v>45869</v>
      </c>
      <c r="AQ164" s="17">
        <f t="shared" si="226"/>
        <v>45900</v>
      </c>
      <c r="AR164" s="17">
        <f t="shared" si="226"/>
        <v>45930</v>
      </c>
      <c r="AS164" s="17">
        <f t="shared" si="226"/>
        <v>45961</v>
      </c>
      <c r="AT164" s="17">
        <f t="shared" si="226"/>
        <v>45991</v>
      </c>
      <c r="AU164" s="17">
        <f t="shared" si="226"/>
        <v>46022</v>
      </c>
      <c r="AV164" s="187">
        <f>EOMONTH(AW164,-3)</f>
        <v>45291</v>
      </c>
      <c r="AW164" s="17">
        <v>45382</v>
      </c>
      <c r="AX164" s="17">
        <f t="shared" ref="AX164:BD164" si="227">EOMONTH(AW164,3)</f>
        <v>45473</v>
      </c>
      <c r="AY164" s="17">
        <f t="shared" si="227"/>
        <v>45565</v>
      </c>
      <c r="AZ164" s="17">
        <f t="shared" si="227"/>
        <v>45657</v>
      </c>
      <c r="BA164" s="17">
        <f t="shared" si="227"/>
        <v>45747</v>
      </c>
      <c r="BB164" s="17">
        <f t="shared" si="227"/>
        <v>45838</v>
      </c>
      <c r="BC164" s="17">
        <f t="shared" si="227"/>
        <v>45930</v>
      </c>
      <c r="BD164" s="17">
        <f t="shared" si="227"/>
        <v>46022</v>
      </c>
      <c r="BE164" s="42">
        <f>EOMONTH(BF164,-12)</f>
        <v>45291</v>
      </c>
      <c r="BF164" s="17">
        <v>45657</v>
      </c>
      <c r="BG164" s="17">
        <f>EOMONTH(BF164,12)</f>
        <v>46022</v>
      </c>
      <c r="BH164" s="17">
        <f>EOMONTH(BG164,12)</f>
        <v>46387</v>
      </c>
      <c r="BI164" s="17">
        <f>EOMONTH(BH164,12)</f>
        <v>46752</v>
      </c>
      <c r="BJ164" s="17">
        <f>EOMONTH(BI164,12)</f>
        <v>47118</v>
      </c>
    </row>
    <row r="165" spans="2:62" x14ac:dyDescent="0.2">
      <c r="C165" s="18" t="s">
        <v>52</v>
      </c>
      <c r="D165" s="18"/>
      <c r="E165" s="18"/>
      <c r="F165" s="18"/>
      <c r="G165" s="18"/>
      <c r="H165" s="18"/>
      <c r="I165" s="18"/>
      <c r="J165" s="18"/>
      <c r="K165" s="18"/>
      <c r="L165" s="27">
        <v>1</v>
      </c>
      <c r="M165" s="28">
        <f t="shared" ref="M165:AU165" si="228">L165+1</f>
        <v>2</v>
      </c>
      <c r="N165" s="28">
        <f t="shared" si="228"/>
        <v>3</v>
      </c>
      <c r="O165" s="28">
        <f t="shared" si="228"/>
        <v>4</v>
      </c>
      <c r="P165" s="28">
        <f t="shared" si="228"/>
        <v>5</v>
      </c>
      <c r="Q165" s="28">
        <f t="shared" si="228"/>
        <v>6</v>
      </c>
      <c r="R165" s="28">
        <f t="shared" si="228"/>
        <v>7</v>
      </c>
      <c r="S165" s="28">
        <f t="shared" si="228"/>
        <v>8</v>
      </c>
      <c r="T165" s="28">
        <f t="shared" si="228"/>
        <v>9</v>
      </c>
      <c r="U165" s="28">
        <f t="shared" si="228"/>
        <v>10</v>
      </c>
      <c r="V165" s="28">
        <f t="shared" si="228"/>
        <v>11</v>
      </c>
      <c r="W165" s="28">
        <f t="shared" si="228"/>
        <v>12</v>
      </c>
      <c r="X165" s="28">
        <f t="shared" si="228"/>
        <v>13</v>
      </c>
      <c r="Y165" s="28">
        <f t="shared" si="228"/>
        <v>14</v>
      </c>
      <c r="Z165" s="28">
        <f t="shared" si="228"/>
        <v>15</v>
      </c>
      <c r="AA165" s="28">
        <f t="shared" si="228"/>
        <v>16</v>
      </c>
      <c r="AB165" s="28">
        <f t="shared" si="228"/>
        <v>17</v>
      </c>
      <c r="AC165" s="28">
        <f t="shared" si="228"/>
        <v>18</v>
      </c>
      <c r="AD165" s="28">
        <f t="shared" si="228"/>
        <v>19</v>
      </c>
      <c r="AE165" s="28">
        <f t="shared" si="228"/>
        <v>20</v>
      </c>
      <c r="AF165" s="28">
        <f t="shared" si="228"/>
        <v>21</v>
      </c>
      <c r="AG165" s="28">
        <f t="shared" si="228"/>
        <v>22</v>
      </c>
      <c r="AH165" s="28">
        <f t="shared" si="228"/>
        <v>23</v>
      </c>
      <c r="AI165" s="28">
        <f t="shared" si="228"/>
        <v>24</v>
      </c>
      <c r="AJ165" s="28">
        <f t="shared" si="228"/>
        <v>25</v>
      </c>
      <c r="AK165" s="28">
        <f t="shared" si="228"/>
        <v>26</v>
      </c>
      <c r="AL165" s="28">
        <f t="shared" si="228"/>
        <v>27</v>
      </c>
      <c r="AM165" s="28">
        <f t="shared" si="228"/>
        <v>28</v>
      </c>
      <c r="AN165" s="28">
        <f t="shared" si="228"/>
        <v>29</v>
      </c>
      <c r="AO165" s="28">
        <f t="shared" si="228"/>
        <v>30</v>
      </c>
      <c r="AP165" s="28">
        <f t="shared" si="228"/>
        <v>31</v>
      </c>
      <c r="AQ165" s="28">
        <f t="shared" si="228"/>
        <v>32</v>
      </c>
      <c r="AR165" s="28">
        <f t="shared" si="228"/>
        <v>33</v>
      </c>
      <c r="AS165" s="28">
        <f t="shared" si="228"/>
        <v>34</v>
      </c>
      <c r="AT165" s="28">
        <f t="shared" si="228"/>
        <v>35</v>
      </c>
      <c r="AU165" s="28">
        <f t="shared" si="228"/>
        <v>36</v>
      </c>
      <c r="AV165" s="82"/>
      <c r="AW165" s="41">
        <f t="shared" ref="AW165:BD165" si="229">AV165+1</f>
        <v>1</v>
      </c>
      <c r="AX165" s="41">
        <f t="shared" si="229"/>
        <v>2</v>
      </c>
      <c r="AY165" s="41">
        <f t="shared" si="229"/>
        <v>3</v>
      </c>
      <c r="AZ165" s="41">
        <f t="shared" si="229"/>
        <v>4</v>
      </c>
      <c r="BA165" s="41">
        <f t="shared" si="229"/>
        <v>5</v>
      </c>
      <c r="BB165" s="41">
        <f t="shared" si="229"/>
        <v>6</v>
      </c>
      <c r="BC165" s="41">
        <f t="shared" si="229"/>
        <v>7</v>
      </c>
      <c r="BD165" s="41">
        <f t="shared" si="229"/>
        <v>8</v>
      </c>
      <c r="BF165" s="44">
        <f>BE165+1</f>
        <v>1</v>
      </c>
      <c r="BG165" s="44">
        <f>BF165+1</f>
        <v>2</v>
      </c>
      <c r="BH165" s="44">
        <f>BG165+1</f>
        <v>3</v>
      </c>
      <c r="BI165" s="44">
        <f>BH165+1</f>
        <v>4</v>
      </c>
      <c r="BJ165" s="44">
        <f>BI165+1</f>
        <v>5</v>
      </c>
    </row>
    <row r="166" spans="2:62" x14ac:dyDescent="0.2">
      <c r="C166" s="19" t="s">
        <v>53</v>
      </c>
      <c r="D166" s="20"/>
      <c r="E166" s="20"/>
      <c r="F166" s="20"/>
      <c r="G166" s="20"/>
      <c r="H166" s="20"/>
      <c r="I166" s="20"/>
      <c r="J166" s="20"/>
      <c r="K166" s="20"/>
      <c r="L166" s="21">
        <f t="shared" ref="L166:AU166" si="230">L164</f>
        <v>44957</v>
      </c>
      <c r="M166" s="21">
        <f t="shared" si="230"/>
        <v>44985</v>
      </c>
      <c r="N166" s="21">
        <f t="shared" si="230"/>
        <v>45016</v>
      </c>
      <c r="O166" s="21">
        <f t="shared" si="230"/>
        <v>45046</v>
      </c>
      <c r="P166" s="21">
        <f t="shared" si="230"/>
        <v>45077</v>
      </c>
      <c r="Q166" s="21">
        <f t="shared" si="230"/>
        <v>45107</v>
      </c>
      <c r="R166" s="21">
        <f t="shared" si="230"/>
        <v>45138</v>
      </c>
      <c r="S166" s="21">
        <f t="shared" si="230"/>
        <v>45169</v>
      </c>
      <c r="T166" s="21">
        <f t="shared" si="230"/>
        <v>45199</v>
      </c>
      <c r="U166" s="21">
        <f t="shared" si="230"/>
        <v>45230</v>
      </c>
      <c r="V166" s="21">
        <f t="shared" si="230"/>
        <v>45260</v>
      </c>
      <c r="W166" s="21">
        <f t="shared" si="230"/>
        <v>45291</v>
      </c>
      <c r="X166" s="21">
        <f t="shared" si="230"/>
        <v>45322</v>
      </c>
      <c r="Y166" s="21">
        <f t="shared" si="230"/>
        <v>45351</v>
      </c>
      <c r="Z166" s="21">
        <f t="shared" si="230"/>
        <v>45382</v>
      </c>
      <c r="AA166" s="21">
        <f t="shared" si="230"/>
        <v>45412</v>
      </c>
      <c r="AB166" s="21">
        <f t="shared" si="230"/>
        <v>45443</v>
      </c>
      <c r="AC166" s="21">
        <f t="shared" si="230"/>
        <v>45473</v>
      </c>
      <c r="AD166" s="21">
        <f t="shared" si="230"/>
        <v>45504</v>
      </c>
      <c r="AE166" s="21">
        <f t="shared" si="230"/>
        <v>45535</v>
      </c>
      <c r="AF166" s="21">
        <f t="shared" si="230"/>
        <v>45565</v>
      </c>
      <c r="AG166" s="21">
        <f t="shared" si="230"/>
        <v>45596</v>
      </c>
      <c r="AH166" s="21">
        <f t="shared" si="230"/>
        <v>45626</v>
      </c>
      <c r="AI166" s="21">
        <f t="shared" si="230"/>
        <v>45657</v>
      </c>
      <c r="AJ166" s="21">
        <f t="shared" si="230"/>
        <v>45688</v>
      </c>
      <c r="AK166" s="21">
        <f t="shared" si="230"/>
        <v>45716</v>
      </c>
      <c r="AL166" s="21">
        <f t="shared" si="230"/>
        <v>45747</v>
      </c>
      <c r="AM166" s="21">
        <f t="shared" si="230"/>
        <v>45777</v>
      </c>
      <c r="AN166" s="21">
        <f t="shared" si="230"/>
        <v>45808</v>
      </c>
      <c r="AO166" s="21">
        <f t="shared" si="230"/>
        <v>45838</v>
      </c>
      <c r="AP166" s="21">
        <f t="shared" si="230"/>
        <v>45869</v>
      </c>
      <c r="AQ166" s="21">
        <f t="shared" si="230"/>
        <v>45900</v>
      </c>
      <c r="AR166" s="21">
        <f t="shared" si="230"/>
        <v>45930</v>
      </c>
      <c r="AS166" s="21">
        <f t="shared" si="230"/>
        <v>45961</v>
      </c>
      <c r="AT166" s="21">
        <f t="shared" si="230"/>
        <v>45991</v>
      </c>
      <c r="AU166" s="21">
        <f t="shared" si="230"/>
        <v>46022</v>
      </c>
      <c r="AV166" s="82"/>
      <c r="AW166" s="21">
        <f t="shared" ref="AW166:BD166" si="231">AW164</f>
        <v>45382</v>
      </c>
      <c r="AX166" s="21">
        <f t="shared" si="231"/>
        <v>45473</v>
      </c>
      <c r="AY166" s="21">
        <f t="shared" si="231"/>
        <v>45565</v>
      </c>
      <c r="AZ166" s="21">
        <f t="shared" si="231"/>
        <v>45657</v>
      </c>
      <c r="BA166" s="21">
        <f t="shared" si="231"/>
        <v>45747</v>
      </c>
      <c r="BB166" s="21">
        <f t="shared" si="231"/>
        <v>45838</v>
      </c>
      <c r="BC166" s="21">
        <f t="shared" si="231"/>
        <v>45930</v>
      </c>
      <c r="BD166" s="21">
        <f t="shared" si="231"/>
        <v>46022</v>
      </c>
      <c r="BF166" s="21">
        <f>BF164</f>
        <v>45657</v>
      </c>
      <c r="BG166" s="21">
        <f>BG164</f>
        <v>46022</v>
      </c>
      <c r="BH166" s="21">
        <f>BH164</f>
        <v>46387</v>
      </c>
      <c r="BI166" s="21">
        <f>BI164</f>
        <v>46752</v>
      </c>
      <c r="BJ166" s="21">
        <f>BJ164</f>
        <v>47118</v>
      </c>
    </row>
    <row r="167" spans="2:62" x14ac:dyDescent="0.2">
      <c r="C167" s="22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82"/>
      <c r="AW167" s="10"/>
      <c r="AX167" s="10"/>
      <c r="AY167" s="10"/>
      <c r="AZ167" s="10"/>
      <c r="BA167" s="10"/>
      <c r="BB167" s="10"/>
      <c r="BC167" s="10"/>
      <c r="BD167" s="10"/>
      <c r="BF167" s="10"/>
      <c r="BG167" s="10"/>
      <c r="BH167" s="10"/>
      <c r="BI167" s="10"/>
      <c r="BJ167" s="10"/>
    </row>
    <row r="168" spans="2:62" x14ac:dyDescent="0.2">
      <c r="C168" s="68" t="s">
        <v>196</v>
      </c>
      <c r="AV168" s="82"/>
    </row>
    <row r="169" spans="2:62" x14ac:dyDescent="0.2">
      <c r="C169" s="134" t="s">
        <v>197</v>
      </c>
      <c r="AV169" s="82"/>
      <c r="AW169" s="136">
        <f t="shared" ref="AW169:BD169" si="232">AW112</f>
        <v>-375342.16426525643</v>
      </c>
      <c r="AX169" s="136">
        <f t="shared" si="232"/>
        <v>-252672.25686015503</v>
      </c>
      <c r="AY169" s="136">
        <f t="shared" si="232"/>
        <v>-203042.60197679655</v>
      </c>
      <c r="AZ169" s="136">
        <f t="shared" si="232"/>
        <v>-388202.16760690091</v>
      </c>
      <c r="BA169" s="136">
        <f t="shared" si="232"/>
        <v>-374098.94919206563</v>
      </c>
      <c r="BB169" s="136">
        <f t="shared" si="232"/>
        <v>-180590.01836874243</v>
      </c>
      <c r="BC169" s="136">
        <f t="shared" si="232"/>
        <v>-56299.234934203647</v>
      </c>
      <c r="BD169" s="136">
        <f t="shared" si="232"/>
        <v>186950.01411934104</v>
      </c>
      <c r="BE169" s="136"/>
      <c r="BF169" s="136">
        <f>BF112</f>
        <v>-1219259.190709109</v>
      </c>
      <c r="BG169" s="136">
        <f>BG112</f>
        <v>-424038.18837566976</v>
      </c>
      <c r="BH169" s="136">
        <f>BH112</f>
        <v>3090237.2424775455</v>
      </c>
      <c r="BI169" s="136">
        <f>BI112</f>
        <v>8312227.6371075483</v>
      </c>
      <c r="BJ169" s="136">
        <f>BJ112</f>
        <v>17821385.678170305</v>
      </c>
    </row>
    <row r="170" spans="2:62" x14ac:dyDescent="0.2">
      <c r="C170" s="134"/>
      <c r="AV170" s="82"/>
      <c r="AW170" s="24"/>
      <c r="AX170" s="24"/>
      <c r="AY170" s="24"/>
      <c r="AZ170" s="24"/>
      <c r="BA170" s="24"/>
      <c r="BB170" s="24"/>
      <c r="BC170" s="24"/>
      <c r="BD170" s="24"/>
      <c r="BE170" s="24"/>
      <c r="BF170" s="24"/>
      <c r="BG170" s="24"/>
      <c r="BH170" s="24"/>
      <c r="BI170" s="24"/>
      <c r="BJ170" s="24"/>
    </row>
    <row r="171" spans="2:62" x14ac:dyDescent="0.2">
      <c r="C171" s="130" t="s">
        <v>198</v>
      </c>
      <c r="AV171" s="82"/>
      <c r="AW171" s="24"/>
      <c r="AX171" s="24"/>
      <c r="AY171" s="24"/>
      <c r="AZ171" s="24"/>
      <c r="BA171" s="24"/>
      <c r="BB171" s="24"/>
      <c r="BC171" s="24"/>
      <c r="BD171" s="24"/>
      <c r="BE171" s="24"/>
      <c r="BF171" s="24"/>
      <c r="BG171" s="24"/>
      <c r="BH171" s="24"/>
      <c r="BI171" s="24"/>
      <c r="BJ171" s="24"/>
    </row>
    <row r="172" spans="2:62" x14ac:dyDescent="0.2">
      <c r="C172" s="63" t="s">
        <v>174</v>
      </c>
      <c r="AV172" s="82"/>
      <c r="AW172" s="24">
        <f t="shared" ref="AW172:BD174" si="233">AV132-AW132</f>
        <v>-21852.011868131871</v>
      </c>
      <c r="AX172" s="24">
        <f t="shared" si="233"/>
        <v>-85851.766483516491</v>
      </c>
      <c r="AY172" s="24">
        <f t="shared" si="233"/>
        <v>-22020.537694547325</v>
      </c>
      <c r="AZ172" s="24">
        <f t="shared" si="233"/>
        <v>-103938.78949728262</v>
      </c>
      <c r="BA172" s="24">
        <f t="shared" si="233"/>
        <v>-237480.77445652176</v>
      </c>
      <c r="BB172" s="24">
        <f t="shared" si="233"/>
        <v>-127259.01098901109</v>
      </c>
      <c r="BC172" s="24">
        <f t="shared" si="233"/>
        <v>-104337.74077729322</v>
      </c>
      <c r="BD172" s="24">
        <f t="shared" si="233"/>
        <v>-110606.23736413056</v>
      </c>
      <c r="BE172" s="24"/>
      <c r="BF172" s="24">
        <f>AV132-BF132</f>
        <v>-233663.1055434783</v>
      </c>
      <c r="BG172" s="24">
        <f t="shared" ref="BG172:BJ174" si="234">BF132-BG132</f>
        <v>-579683.76358695666</v>
      </c>
      <c r="BH172" s="24">
        <f t="shared" si="234"/>
        <v>-433663.27799285261</v>
      </c>
      <c r="BI172" s="24">
        <f t="shared" si="234"/>
        <v>-1340660.9589041099</v>
      </c>
      <c r="BJ172" s="24">
        <f t="shared" si="234"/>
        <v>-2425398.388726702</v>
      </c>
    </row>
    <row r="173" spans="2:62" x14ac:dyDescent="0.2">
      <c r="C173" s="63" t="s">
        <v>209</v>
      </c>
      <c r="AV173" s="82"/>
      <c r="AW173" s="24">
        <f t="shared" si="233"/>
        <v>0</v>
      </c>
      <c r="AX173" s="24">
        <f t="shared" si="233"/>
        <v>0</v>
      </c>
      <c r="AY173" s="24">
        <f t="shared" si="233"/>
        <v>0</v>
      </c>
      <c r="AZ173" s="24">
        <f t="shared" si="233"/>
        <v>0</v>
      </c>
      <c r="BA173" s="24">
        <f t="shared" si="233"/>
        <v>0</v>
      </c>
      <c r="BB173" s="24">
        <f t="shared" si="233"/>
        <v>0</v>
      </c>
      <c r="BC173" s="24">
        <f t="shared" si="233"/>
        <v>0</v>
      </c>
      <c r="BD173" s="24">
        <f t="shared" si="233"/>
        <v>0</v>
      </c>
      <c r="BE173" s="24"/>
      <c r="BF173" s="24">
        <f>AV133-BF133</f>
        <v>0</v>
      </c>
      <c r="BG173" s="24">
        <f t="shared" si="234"/>
        <v>0</v>
      </c>
      <c r="BH173" s="24">
        <f t="shared" si="234"/>
        <v>0</v>
      </c>
      <c r="BI173" s="24">
        <f t="shared" si="234"/>
        <v>0</v>
      </c>
      <c r="BJ173" s="24">
        <f t="shared" si="234"/>
        <v>0</v>
      </c>
    </row>
    <row r="174" spans="2:62" x14ac:dyDescent="0.2">
      <c r="C174" s="63" t="s">
        <v>176</v>
      </c>
      <c r="AV174" s="82"/>
      <c r="AW174" s="24">
        <f t="shared" si="233"/>
        <v>69323.475356331168</v>
      </c>
      <c r="AX174" s="24">
        <f t="shared" si="233"/>
        <v>-22889.943821710785</v>
      </c>
      <c r="AY174" s="24">
        <f t="shared" si="233"/>
        <v>-5405.5943655177143</v>
      </c>
      <c r="AZ174" s="24">
        <f t="shared" si="233"/>
        <v>-26718.60176643468</v>
      </c>
      <c r="BA174" s="24">
        <f t="shared" si="233"/>
        <v>-62986.400982213439</v>
      </c>
      <c r="BB174" s="24">
        <f t="shared" si="233"/>
        <v>-32475.333512562473</v>
      </c>
      <c r="BC174" s="24">
        <f t="shared" si="233"/>
        <v>-27057.340720323904</v>
      </c>
      <c r="BD174" s="24">
        <f t="shared" si="233"/>
        <v>-28691.711778477271</v>
      </c>
      <c r="BE174" s="24"/>
      <c r="BF174" s="24">
        <f>AV134-BF134</f>
        <v>14309.335402667988</v>
      </c>
      <c r="BG174" s="24">
        <f t="shared" si="234"/>
        <v>-151210.78699357709</v>
      </c>
      <c r="BH174" s="24">
        <f t="shared" si="234"/>
        <v>-114340.21153486919</v>
      </c>
      <c r="BI174" s="24">
        <f t="shared" si="234"/>
        <v>-351816.03549190541</v>
      </c>
      <c r="BJ174" s="24">
        <f t="shared" si="234"/>
        <v>-639036.3398771002</v>
      </c>
    </row>
    <row r="175" spans="2:62" x14ac:dyDescent="0.2">
      <c r="C175" s="63" t="s">
        <v>185</v>
      </c>
      <c r="AV175" s="82"/>
      <c r="AW175" s="24">
        <f t="shared" ref="AW175:BD175" si="235">AW146-AV146</f>
        <v>202493.23521484926</v>
      </c>
      <c r="AX175" s="24">
        <f t="shared" si="235"/>
        <v>-223.20778846152825</v>
      </c>
      <c r="AY175" s="24">
        <f t="shared" si="235"/>
        <v>-9777.958312854782</v>
      </c>
      <c r="AZ175" s="24">
        <f t="shared" si="235"/>
        <v>168371.31569659806</v>
      </c>
      <c r="BA175" s="24">
        <f t="shared" si="235"/>
        <v>161620.80916422798</v>
      </c>
      <c r="BB175" s="24">
        <f t="shared" si="235"/>
        <v>-9920.343241053808</v>
      </c>
      <c r="BC175" s="24">
        <f t="shared" si="235"/>
        <v>474.42946417594794</v>
      </c>
      <c r="BD175" s="24">
        <f t="shared" si="235"/>
        <v>-70009.361794471042</v>
      </c>
      <c r="BE175" s="24"/>
      <c r="BF175" s="24">
        <f>BF146-AV146</f>
        <v>360863.38481013104</v>
      </c>
      <c r="BG175" s="24">
        <f>BG146-BF146</f>
        <v>82165.533592879074</v>
      </c>
      <c r="BH175" s="24">
        <f>BH146-BG146</f>
        <v>-4759.3008687635302</v>
      </c>
      <c r="BI175" s="24">
        <f>BI146-BH146</f>
        <v>143684.27414383553</v>
      </c>
      <c r="BJ175" s="24">
        <f>BJ146-BI146</f>
        <v>237269.25554015569</v>
      </c>
    </row>
    <row r="176" spans="2:62" x14ac:dyDescent="0.2">
      <c r="C176" s="63" t="s">
        <v>199</v>
      </c>
      <c r="AV176" s="82"/>
      <c r="AW176" s="24">
        <f t="shared" ref="AW176:BD176" si="236">AW149-AV149</f>
        <v>0</v>
      </c>
      <c r="AX176" s="24">
        <f t="shared" si="236"/>
        <v>0</v>
      </c>
      <c r="AY176" s="24">
        <f t="shared" si="236"/>
        <v>0</v>
      </c>
      <c r="AZ176" s="24">
        <f t="shared" si="236"/>
        <v>0</v>
      </c>
      <c r="BA176" s="24">
        <f t="shared" si="236"/>
        <v>0</v>
      </c>
      <c r="BB176" s="24">
        <f t="shared" si="236"/>
        <v>0</v>
      </c>
      <c r="BC176" s="24">
        <f t="shared" si="236"/>
        <v>0</v>
      </c>
      <c r="BD176" s="24">
        <f t="shared" si="236"/>
        <v>0</v>
      </c>
      <c r="BE176" s="24"/>
      <c r="BF176" s="24">
        <f>BF149-AV149</f>
        <v>0</v>
      </c>
      <c r="BG176" s="24">
        <f>BG149-BF149</f>
        <v>0</v>
      </c>
      <c r="BH176" s="24">
        <f>BH149-BG149</f>
        <v>0</v>
      </c>
      <c r="BI176" s="24">
        <f>BI149-BH149</f>
        <v>0</v>
      </c>
      <c r="BJ176" s="24">
        <f>BJ149-BI149</f>
        <v>0</v>
      </c>
    </row>
    <row r="177" spans="3:62" x14ac:dyDescent="0.2">
      <c r="C177" s="282" t="s">
        <v>439</v>
      </c>
      <c r="AV177" s="82"/>
      <c r="AW177" s="25">
        <f>SUM(AW172:AW176)</f>
        <v>249964.69870304858</v>
      </c>
      <c r="AX177" s="25">
        <f t="shared" ref="AX177:BD177" si="237">SUM(AX172:AX176)</f>
        <v>-108964.9180936888</v>
      </c>
      <c r="AY177" s="25">
        <f t="shared" si="237"/>
        <v>-37204.090372919818</v>
      </c>
      <c r="AZ177" s="25">
        <f t="shared" si="237"/>
        <v>37713.924432880769</v>
      </c>
      <c r="BA177" s="25">
        <f t="shared" si="237"/>
        <v>-138846.36627450719</v>
      </c>
      <c r="BB177" s="25">
        <f t="shared" si="237"/>
        <v>-169654.68774262737</v>
      </c>
      <c r="BC177" s="25">
        <f t="shared" si="237"/>
        <v>-130920.65203344118</v>
      </c>
      <c r="BD177" s="25">
        <f t="shared" si="237"/>
        <v>-209307.31093707887</v>
      </c>
      <c r="BE177" s="24"/>
      <c r="BF177" s="25">
        <f t="shared" ref="BF177" si="238">SUM(BF172:BF176)</f>
        <v>141509.61466932073</v>
      </c>
      <c r="BG177" s="25">
        <f t="shared" ref="BG177" si="239">SUM(BG172:BG176)</f>
        <v>-648729.01698765461</v>
      </c>
      <c r="BH177" s="25">
        <f t="shared" ref="BH177" si="240">SUM(BH172:BH176)</f>
        <v>-552762.79039648524</v>
      </c>
      <c r="BI177" s="25">
        <f t="shared" ref="BI177" si="241">SUM(BI172:BI176)</f>
        <v>-1548792.7202521798</v>
      </c>
      <c r="BJ177" s="25">
        <f t="shared" ref="BJ177" si="242">SUM(BJ172:BJ176)</f>
        <v>-2827165.4730636464</v>
      </c>
    </row>
    <row r="178" spans="3:62" x14ac:dyDescent="0.2">
      <c r="C178" s="63"/>
      <c r="AV178" s="82"/>
      <c r="AW178" s="24"/>
      <c r="AX178" s="24"/>
      <c r="AY178" s="24"/>
      <c r="AZ178" s="24"/>
      <c r="BA178" s="24"/>
      <c r="BB178" s="24"/>
      <c r="BC178" s="24"/>
      <c r="BD178" s="24"/>
      <c r="BE178" s="24"/>
      <c r="BF178" s="24"/>
      <c r="BG178" s="24"/>
      <c r="BH178" s="24"/>
      <c r="BI178" s="24"/>
      <c r="BJ178" s="24"/>
    </row>
    <row r="179" spans="3:62" x14ac:dyDescent="0.2">
      <c r="C179" s="132" t="s">
        <v>200</v>
      </c>
      <c r="AV179" s="82"/>
      <c r="AW179" s="25">
        <f>SUM(AW177,AW169)</f>
        <v>-125377.46556220786</v>
      </c>
      <c r="AX179" s="25">
        <f t="shared" ref="AX179:BJ179" si="243">SUM(AX177,AX169)</f>
        <v>-361637.17495384382</v>
      </c>
      <c r="AY179" s="25">
        <f t="shared" si="243"/>
        <v>-240246.69234971638</v>
      </c>
      <c r="AZ179" s="25">
        <f t="shared" si="243"/>
        <v>-350488.24317402014</v>
      </c>
      <c r="BA179" s="25">
        <f t="shared" si="243"/>
        <v>-512945.31546657282</v>
      </c>
      <c r="BB179" s="25">
        <f t="shared" si="243"/>
        <v>-350244.70611136977</v>
      </c>
      <c r="BC179" s="25">
        <f t="shared" si="243"/>
        <v>-187219.88696764482</v>
      </c>
      <c r="BD179" s="25">
        <f t="shared" si="243"/>
        <v>-22357.296817737835</v>
      </c>
      <c r="BE179" s="24"/>
      <c r="BF179" s="25">
        <f t="shared" si="243"/>
        <v>-1077749.5760397883</v>
      </c>
      <c r="BG179" s="25">
        <f t="shared" si="243"/>
        <v>-1072767.2053633244</v>
      </c>
      <c r="BH179" s="25">
        <f t="shared" si="243"/>
        <v>2537474.45208106</v>
      </c>
      <c r="BI179" s="25">
        <f t="shared" si="243"/>
        <v>6763434.9168553688</v>
      </c>
      <c r="BJ179" s="25">
        <f t="shared" si="243"/>
        <v>14994220.205106659</v>
      </c>
    </row>
    <row r="180" spans="3:62" x14ac:dyDescent="0.2">
      <c r="C180" s="62"/>
      <c r="AV180" s="82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  <c r="BH180" s="24"/>
      <c r="BI180" s="24"/>
      <c r="BJ180" s="24"/>
    </row>
    <row r="181" spans="3:62" x14ac:dyDescent="0.2">
      <c r="C181" s="68" t="s">
        <v>201</v>
      </c>
      <c r="AV181" s="82"/>
      <c r="AW181" s="24"/>
      <c r="AX181" s="24"/>
      <c r="AY181" s="24"/>
      <c r="AZ181" s="24"/>
      <c r="BA181" s="24"/>
      <c r="BB181" s="24"/>
      <c r="BC181" s="24"/>
      <c r="BD181" s="24"/>
      <c r="BE181" s="24"/>
      <c r="BF181" s="24"/>
      <c r="BG181" s="24"/>
      <c r="BH181" s="24"/>
      <c r="BI181" s="24"/>
      <c r="BJ181" s="24"/>
    </row>
    <row r="182" spans="3:62" x14ac:dyDescent="0.2">
      <c r="C182" s="132" t="s">
        <v>202</v>
      </c>
      <c r="AV182" s="82"/>
      <c r="AW182" s="25">
        <f t="shared" ref="AW182:BD182" si="244">AW181</f>
        <v>0</v>
      </c>
      <c r="AX182" s="25">
        <f t="shared" si="244"/>
        <v>0</v>
      </c>
      <c r="AY182" s="25">
        <f t="shared" si="244"/>
        <v>0</v>
      </c>
      <c r="AZ182" s="25">
        <f t="shared" si="244"/>
        <v>0</v>
      </c>
      <c r="BA182" s="25">
        <f t="shared" si="244"/>
        <v>0</v>
      </c>
      <c r="BB182" s="25">
        <f t="shared" si="244"/>
        <v>0</v>
      </c>
      <c r="BC182" s="25">
        <f t="shared" si="244"/>
        <v>0</v>
      </c>
      <c r="BD182" s="25">
        <f t="shared" si="244"/>
        <v>0</v>
      </c>
      <c r="BE182" s="24"/>
      <c r="BF182" s="25">
        <f>BF181</f>
        <v>0</v>
      </c>
      <c r="BG182" s="25">
        <f>BG181</f>
        <v>0</v>
      </c>
      <c r="BH182" s="25">
        <f>BH181</f>
        <v>0</v>
      </c>
      <c r="BI182" s="25">
        <f>BI181</f>
        <v>0</v>
      </c>
      <c r="BJ182" s="25">
        <f>BJ181</f>
        <v>0</v>
      </c>
    </row>
    <row r="183" spans="3:62" x14ac:dyDescent="0.2">
      <c r="C183" s="62"/>
      <c r="AV183" s="82"/>
      <c r="AW183" s="24"/>
      <c r="AX183" s="24"/>
      <c r="AY183" s="24"/>
      <c r="AZ183" s="24"/>
      <c r="BA183" s="24"/>
      <c r="BB183" s="24"/>
      <c r="BC183" s="24"/>
      <c r="BD183" s="24"/>
      <c r="BE183" s="24"/>
      <c r="BF183" s="24"/>
      <c r="BG183" s="24"/>
      <c r="BH183" s="24"/>
      <c r="BI183" s="24"/>
      <c r="BJ183" s="24"/>
    </row>
    <row r="184" spans="3:62" x14ac:dyDescent="0.2">
      <c r="C184" s="68" t="s">
        <v>203</v>
      </c>
      <c r="AV184" s="82"/>
      <c r="AW184" s="24"/>
      <c r="AX184" s="24"/>
      <c r="AY184" s="24"/>
      <c r="AZ184" s="24"/>
      <c r="BA184" s="24"/>
      <c r="BB184" s="24"/>
      <c r="BC184" s="24"/>
      <c r="BD184" s="24"/>
      <c r="BE184" s="24"/>
      <c r="BF184" s="24"/>
      <c r="BG184" s="24"/>
      <c r="BH184" s="24"/>
      <c r="BI184" s="24"/>
      <c r="BJ184" s="24"/>
    </row>
    <row r="185" spans="3:62" x14ac:dyDescent="0.2">
      <c r="C185" s="63" t="s">
        <v>210</v>
      </c>
      <c r="AV185" s="82"/>
      <c r="AW185" s="136">
        <f t="shared" ref="AW185:BD185" si="245">AW252</f>
        <v>1630000</v>
      </c>
      <c r="AX185" s="136">
        <f t="shared" si="245"/>
        <v>0</v>
      </c>
      <c r="AY185" s="136">
        <f t="shared" si="245"/>
        <v>0</v>
      </c>
      <c r="AZ185" s="136">
        <f t="shared" si="245"/>
        <v>0</v>
      </c>
      <c r="BA185" s="136">
        <f t="shared" si="245"/>
        <v>0</v>
      </c>
      <c r="BB185" s="136">
        <f t="shared" si="245"/>
        <v>0</v>
      </c>
      <c r="BC185" s="136">
        <f t="shared" si="245"/>
        <v>0</v>
      </c>
      <c r="BD185" s="136">
        <f t="shared" si="245"/>
        <v>0</v>
      </c>
      <c r="BE185" s="24"/>
      <c r="BF185" s="136">
        <f>BF252</f>
        <v>1630000</v>
      </c>
      <c r="BG185" s="136">
        <f>BG252</f>
        <v>0</v>
      </c>
      <c r="BH185" s="136">
        <f>BH252</f>
        <v>0</v>
      </c>
      <c r="BI185" s="136">
        <f>BI252</f>
        <v>0</v>
      </c>
      <c r="BJ185" s="136">
        <f>BJ252</f>
        <v>0</v>
      </c>
    </row>
    <row r="186" spans="3:62" x14ac:dyDescent="0.2">
      <c r="C186" s="132" t="s">
        <v>204</v>
      </c>
      <c r="AV186" s="82"/>
      <c r="AW186" s="25">
        <f t="shared" ref="AW186:BD186" si="246">SUM(AW185:AW185)</f>
        <v>1630000</v>
      </c>
      <c r="AX186" s="25">
        <f t="shared" si="246"/>
        <v>0</v>
      </c>
      <c r="AY186" s="25">
        <f t="shared" si="246"/>
        <v>0</v>
      </c>
      <c r="AZ186" s="25">
        <f t="shared" si="246"/>
        <v>0</v>
      </c>
      <c r="BA186" s="25">
        <f t="shared" si="246"/>
        <v>0</v>
      </c>
      <c r="BB186" s="25">
        <f t="shared" si="246"/>
        <v>0</v>
      </c>
      <c r="BC186" s="25">
        <f t="shared" si="246"/>
        <v>0</v>
      </c>
      <c r="BD186" s="25">
        <f t="shared" si="246"/>
        <v>0</v>
      </c>
      <c r="BE186" s="24"/>
      <c r="BF186" s="25">
        <f>SUM(BF185:BF185)</f>
        <v>1630000</v>
      </c>
      <c r="BG186" s="25">
        <f>SUM(BG185:BG185)</f>
        <v>0</v>
      </c>
      <c r="BH186" s="25">
        <f>SUM(BH185:BH185)</f>
        <v>0</v>
      </c>
      <c r="BI186" s="25">
        <f>SUM(BI185:BI185)</f>
        <v>0</v>
      </c>
      <c r="BJ186" s="25">
        <f>SUM(BJ185:BJ185)</f>
        <v>0</v>
      </c>
    </row>
    <row r="187" spans="3:62" x14ac:dyDescent="0.2">
      <c r="C187" s="62"/>
      <c r="AV187" s="82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  <c r="BH187" s="24"/>
      <c r="BI187" s="24"/>
      <c r="BJ187" s="24"/>
    </row>
    <row r="188" spans="3:62" x14ac:dyDescent="0.2">
      <c r="C188" s="68" t="s">
        <v>205</v>
      </c>
      <c r="AV188" s="82"/>
      <c r="AW188" s="24">
        <f t="shared" ref="AW188:BD188" si="247">SUM(AW186,AW182,AW179)</f>
        <v>1504622.5344377921</v>
      </c>
      <c r="AX188" s="24">
        <f t="shared" si="247"/>
        <v>-361637.17495384382</v>
      </c>
      <c r="AY188" s="24">
        <f t="shared" si="247"/>
        <v>-240246.69234971638</v>
      </c>
      <c r="AZ188" s="24">
        <f t="shared" si="247"/>
        <v>-350488.24317402014</v>
      </c>
      <c r="BA188" s="24">
        <f t="shared" si="247"/>
        <v>-512945.31546657282</v>
      </c>
      <c r="BB188" s="24">
        <f t="shared" si="247"/>
        <v>-350244.70611136977</v>
      </c>
      <c r="BC188" s="24">
        <f t="shared" si="247"/>
        <v>-187219.88696764482</v>
      </c>
      <c r="BD188" s="24">
        <f t="shared" si="247"/>
        <v>-22357.296817737835</v>
      </c>
      <c r="BE188" s="24"/>
      <c r="BF188" s="24">
        <f>SUM(BF186,BF182,BF179)</f>
        <v>552250.42396021169</v>
      </c>
      <c r="BG188" s="24">
        <f>SUM(BG186,BG182,BG179)</f>
        <v>-1072767.2053633244</v>
      </c>
      <c r="BH188" s="24">
        <f>SUM(BH186,BH182,BH179)</f>
        <v>2537474.45208106</v>
      </c>
      <c r="BI188" s="24">
        <f>SUM(BI186,BI182,BI179)</f>
        <v>6763434.9168553688</v>
      </c>
      <c r="BJ188" s="24">
        <f>SUM(BJ186,BJ182,BJ179)</f>
        <v>14994220.205106659</v>
      </c>
    </row>
    <row r="189" spans="3:62" x14ac:dyDescent="0.2">
      <c r="C189" s="63" t="s">
        <v>206</v>
      </c>
      <c r="AV189" s="82"/>
      <c r="AW189" s="136">
        <f>$AV$131</f>
        <v>683542.81</v>
      </c>
      <c r="AX189" s="24">
        <f t="shared" ref="AX189:BD189" si="248">AW190</f>
        <v>2188165.344437792</v>
      </c>
      <c r="AY189" s="24">
        <f t="shared" si="248"/>
        <v>1826528.169483948</v>
      </c>
      <c r="AZ189" s="24">
        <f t="shared" si="248"/>
        <v>1586281.4771342317</v>
      </c>
      <c r="BA189" s="24">
        <f t="shared" si="248"/>
        <v>1235793.2339602115</v>
      </c>
      <c r="BB189" s="24">
        <f t="shared" si="248"/>
        <v>722847.91849363875</v>
      </c>
      <c r="BC189" s="24">
        <f t="shared" si="248"/>
        <v>372603.21238226898</v>
      </c>
      <c r="BD189" s="24">
        <f t="shared" si="248"/>
        <v>185383.32541462415</v>
      </c>
      <c r="BE189" s="24"/>
      <c r="BF189" s="136">
        <f>$AV$131</f>
        <v>683542.81</v>
      </c>
      <c r="BG189" s="24">
        <f>BF190</f>
        <v>1235793.2339602117</v>
      </c>
      <c r="BH189" s="24">
        <f>BG190</f>
        <v>163026.02859688736</v>
      </c>
      <c r="BI189" s="24">
        <f>BH190</f>
        <v>2700500.4806779474</v>
      </c>
      <c r="BJ189" s="24">
        <f>BI190</f>
        <v>9463935.3975333162</v>
      </c>
    </row>
    <row r="190" spans="3:62" x14ac:dyDescent="0.2">
      <c r="C190" s="135" t="s">
        <v>207</v>
      </c>
      <c r="AV190" s="82"/>
      <c r="AW190" s="133">
        <f t="shared" ref="AW190:BD190" si="249">SUM(AW188:AW189)</f>
        <v>2188165.344437792</v>
      </c>
      <c r="AX190" s="133">
        <f t="shared" si="249"/>
        <v>1826528.169483948</v>
      </c>
      <c r="AY190" s="133">
        <f t="shared" si="249"/>
        <v>1586281.4771342317</v>
      </c>
      <c r="AZ190" s="133">
        <f t="shared" si="249"/>
        <v>1235793.2339602115</v>
      </c>
      <c r="BA190" s="133">
        <f t="shared" si="249"/>
        <v>722847.91849363875</v>
      </c>
      <c r="BB190" s="133">
        <f t="shared" si="249"/>
        <v>372603.21238226898</v>
      </c>
      <c r="BC190" s="133">
        <f t="shared" si="249"/>
        <v>185383.32541462415</v>
      </c>
      <c r="BD190" s="133">
        <f t="shared" si="249"/>
        <v>163026.02859688632</v>
      </c>
      <c r="BE190" s="24"/>
      <c r="BF190" s="133">
        <f>SUM(BF188:BF189)</f>
        <v>1235793.2339602117</v>
      </c>
      <c r="BG190" s="133">
        <f>SUM(BG188:BG189)</f>
        <v>163026.02859688736</v>
      </c>
      <c r="BH190" s="133">
        <f>SUM(BH188:BH189)</f>
        <v>2700500.4806779474</v>
      </c>
      <c r="BI190" s="133">
        <f>SUM(BI188:BI189)</f>
        <v>9463935.3975333162</v>
      </c>
      <c r="BJ190" s="133">
        <f>SUM(BJ188:BJ189)</f>
        <v>24458155.602639973</v>
      </c>
    </row>
    <row r="191" spans="3:62" x14ac:dyDescent="0.2">
      <c r="C191" s="62"/>
      <c r="AV191" s="82"/>
    </row>
    <row r="192" spans="3:62" x14ac:dyDescent="0.2">
      <c r="C192" s="61" t="s">
        <v>194</v>
      </c>
      <c r="AV192" s="82"/>
      <c r="AW192" s="24">
        <f t="shared" ref="AW192:BD192" si="250">AW190-AW131</f>
        <v>0</v>
      </c>
      <c r="AX192" s="24">
        <f t="shared" si="250"/>
        <v>0</v>
      </c>
      <c r="AY192" s="24">
        <f t="shared" si="250"/>
        <v>0</v>
      </c>
      <c r="AZ192" s="24">
        <f t="shared" si="250"/>
        <v>0</v>
      </c>
      <c r="BA192" s="24">
        <f t="shared" si="250"/>
        <v>0</v>
      </c>
      <c r="BB192" s="24">
        <f t="shared" si="250"/>
        <v>0</v>
      </c>
      <c r="BC192" s="24">
        <f t="shared" si="250"/>
        <v>0</v>
      </c>
      <c r="BD192" s="24">
        <f t="shared" si="250"/>
        <v>0</v>
      </c>
      <c r="BF192" s="24">
        <f>BF190-BF131</f>
        <v>0</v>
      </c>
      <c r="BG192" s="24">
        <f>BG190-BG131</f>
        <v>0</v>
      </c>
      <c r="BH192" s="24">
        <f>BH190-BH131</f>
        <v>0</v>
      </c>
      <c r="BI192" s="24">
        <f>BI190-BI131</f>
        <v>0</v>
      </c>
      <c r="BJ192" s="24">
        <f>BJ190-BJ131</f>
        <v>0</v>
      </c>
    </row>
    <row r="193" spans="2:62" x14ac:dyDescent="0.2">
      <c r="AV193" s="82"/>
    </row>
    <row r="194" spans="2:62" x14ac:dyDescent="0.2">
      <c r="AV194" s="82"/>
    </row>
    <row r="195" spans="2:62" x14ac:dyDescent="0.2">
      <c r="B195" s="11" t="s">
        <v>432</v>
      </c>
      <c r="C195" s="11"/>
      <c r="D195" s="12"/>
      <c r="E195" s="12"/>
      <c r="F195" s="12"/>
      <c r="G195" s="13"/>
      <c r="H195" s="13"/>
      <c r="I195" s="13"/>
      <c r="J195" s="13"/>
      <c r="K195" s="13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82"/>
      <c r="AW195" s="12"/>
      <c r="AX195" s="12"/>
      <c r="AY195" s="12"/>
      <c r="AZ195" s="12"/>
      <c r="BA195" s="12"/>
      <c r="BB195" s="12"/>
      <c r="BC195" s="12"/>
      <c r="BD195" s="12"/>
      <c r="BF195" s="12"/>
      <c r="BG195" s="12"/>
      <c r="BH195" s="12"/>
      <c r="BI195" s="12"/>
      <c r="BJ195" s="12"/>
    </row>
    <row r="196" spans="2:62" x14ac:dyDescent="0.2">
      <c r="C196" s="14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82"/>
      <c r="AW196" s="10"/>
      <c r="AX196" s="10"/>
      <c r="AY196" s="10"/>
      <c r="AZ196" s="10"/>
      <c r="BA196" s="10"/>
      <c r="BB196" s="10"/>
      <c r="BC196" s="10"/>
      <c r="BD196" s="10"/>
      <c r="BF196" s="10"/>
      <c r="BG196" s="10"/>
      <c r="BH196" s="10"/>
      <c r="BI196" s="10"/>
      <c r="BJ196" s="10"/>
    </row>
    <row r="197" spans="2:62" ht="13.5" thickBot="1" x14ac:dyDescent="0.25">
      <c r="C197" s="15" t="s">
        <v>44</v>
      </c>
      <c r="D197" s="16"/>
      <c r="E197" s="16"/>
      <c r="F197" s="16"/>
      <c r="G197" s="16"/>
      <c r="H197" s="16"/>
      <c r="I197" s="16"/>
      <c r="J197" s="16"/>
      <c r="K197" s="16"/>
      <c r="L197" s="17">
        <v>44957</v>
      </c>
      <c r="M197" s="17">
        <f t="shared" ref="M197:AU197" si="251">EOMONTH(L197,1)</f>
        <v>44985</v>
      </c>
      <c r="N197" s="17">
        <f t="shared" si="251"/>
        <v>45016</v>
      </c>
      <c r="O197" s="17">
        <f t="shared" si="251"/>
        <v>45046</v>
      </c>
      <c r="P197" s="17">
        <f t="shared" si="251"/>
        <v>45077</v>
      </c>
      <c r="Q197" s="17">
        <f t="shared" si="251"/>
        <v>45107</v>
      </c>
      <c r="R197" s="17">
        <f t="shared" si="251"/>
        <v>45138</v>
      </c>
      <c r="S197" s="17">
        <f t="shared" si="251"/>
        <v>45169</v>
      </c>
      <c r="T197" s="17">
        <f t="shared" si="251"/>
        <v>45199</v>
      </c>
      <c r="U197" s="17">
        <f t="shared" si="251"/>
        <v>45230</v>
      </c>
      <c r="V197" s="17">
        <f t="shared" si="251"/>
        <v>45260</v>
      </c>
      <c r="W197" s="17">
        <f t="shared" si="251"/>
        <v>45291</v>
      </c>
      <c r="X197" s="17">
        <f t="shared" si="251"/>
        <v>45322</v>
      </c>
      <c r="Y197" s="17">
        <f t="shared" si="251"/>
        <v>45351</v>
      </c>
      <c r="Z197" s="17">
        <f t="shared" si="251"/>
        <v>45382</v>
      </c>
      <c r="AA197" s="17">
        <f t="shared" si="251"/>
        <v>45412</v>
      </c>
      <c r="AB197" s="17">
        <f t="shared" si="251"/>
        <v>45443</v>
      </c>
      <c r="AC197" s="17">
        <f t="shared" si="251"/>
        <v>45473</v>
      </c>
      <c r="AD197" s="17">
        <f t="shared" si="251"/>
        <v>45504</v>
      </c>
      <c r="AE197" s="17">
        <f t="shared" si="251"/>
        <v>45535</v>
      </c>
      <c r="AF197" s="17">
        <f t="shared" si="251"/>
        <v>45565</v>
      </c>
      <c r="AG197" s="17">
        <f t="shared" si="251"/>
        <v>45596</v>
      </c>
      <c r="AH197" s="17">
        <f t="shared" si="251"/>
        <v>45626</v>
      </c>
      <c r="AI197" s="17">
        <f t="shared" si="251"/>
        <v>45657</v>
      </c>
      <c r="AJ197" s="17">
        <f t="shared" si="251"/>
        <v>45688</v>
      </c>
      <c r="AK197" s="17">
        <f t="shared" si="251"/>
        <v>45716</v>
      </c>
      <c r="AL197" s="17">
        <f t="shared" si="251"/>
        <v>45747</v>
      </c>
      <c r="AM197" s="17">
        <f t="shared" si="251"/>
        <v>45777</v>
      </c>
      <c r="AN197" s="17">
        <f t="shared" si="251"/>
        <v>45808</v>
      </c>
      <c r="AO197" s="17">
        <f t="shared" si="251"/>
        <v>45838</v>
      </c>
      <c r="AP197" s="17">
        <f t="shared" si="251"/>
        <v>45869</v>
      </c>
      <c r="AQ197" s="17">
        <f t="shared" si="251"/>
        <v>45900</v>
      </c>
      <c r="AR197" s="17">
        <f t="shared" si="251"/>
        <v>45930</v>
      </c>
      <c r="AS197" s="17">
        <f t="shared" si="251"/>
        <v>45961</v>
      </c>
      <c r="AT197" s="17">
        <f t="shared" si="251"/>
        <v>45991</v>
      </c>
      <c r="AU197" s="17">
        <f t="shared" si="251"/>
        <v>46022</v>
      </c>
      <c r="AV197" s="187">
        <f>EOMONTH(AW197,-3)</f>
        <v>45291</v>
      </c>
      <c r="AW197" s="17">
        <v>45382</v>
      </c>
      <c r="AX197" s="17">
        <f t="shared" ref="AX197:BD197" si="252">EOMONTH(AW197,3)</f>
        <v>45473</v>
      </c>
      <c r="AY197" s="17">
        <f t="shared" si="252"/>
        <v>45565</v>
      </c>
      <c r="AZ197" s="17">
        <f t="shared" si="252"/>
        <v>45657</v>
      </c>
      <c r="BA197" s="17">
        <f t="shared" si="252"/>
        <v>45747</v>
      </c>
      <c r="BB197" s="17">
        <f t="shared" si="252"/>
        <v>45838</v>
      </c>
      <c r="BC197" s="17">
        <f t="shared" si="252"/>
        <v>45930</v>
      </c>
      <c r="BD197" s="17">
        <f t="shared" si="252"/>
        <v>46022</v>
      </c>
      <c r="BE197" s="42">
        <f>EOMONTH(BF197,-12)</f>
        <v>45291</v>
      </c>
      <c r="BF197" s="17">
        <v>45657</v>
      </c>
      <c r="BG197" s="17">
        <f>EOMONTH(BF197,12)</f>
        <v>46022</v>
      </c>
      <c r="BH197" s="17">
        <f>EOMONTH(BG197,12)</f>
        <v>46387</v>
      </c>
      <c r="BI197" s="17">
        <f>EOMONTH(BH197,12)</f>
        <v>46752</v>
      </c>
      <c r="BJ197" s="17">
        <f>EOMONTH(BI197,12)</f>
        <v>47118</v>
      </c>
    </row>
    <row r="198" spans="2:62" x14ac:dyDescent="0.2">
      <c r="C198" s="18" t="s">
        <v>52</v>
      </c>
      <c r="D198" s="18"/>
      <c r="E198" s="18"/>
      <c r="F198" s="18"/>
      <c r="G198" s="18"/>
      <c r="H198" s="18"/>
      <c r="I198" s="18"/>
      <c r="J198" s="18"/>
      <c r="K198" s="18"/>
      <c r="L198" s="27">
        <v>1</v>
      </c>
      <c r="M198" s="28">
        <f t="shared" ref="M198:AU198" si="253">L198+1</f>
        <v>2</v>
      </c>
      <c r="N198" s="28">
        <f t="shared" si="253"/>
        <v>3</v>
      </c>
      <c r="O198" s="28">
        <f t="shared" si="253"/>
        <v>4</v>
      </c>
      <c r="P198" s="28">
        <f t="shared" si="253"/>
        <v>5</v>
      </c>
      <c r="Q198" s="28">
        <f t="shared" si="253"/>
        <v>6</v>
      </c>
      <c r="R198" s="28">
        <f t="shared" si="253"/>
        <v>7</v>
      </c>
      <c r="S198" s="28">
        <f t="shared" si="253"/>
        <v>8</v>
      </c>
      <c r="T198" s="28">
        <f t="shared" si="253"/>
        <v>9</v>
      </c>
      <c r="U198" s="28">
        <f t="shared" si="253"/>
        <v>10</v>
      </c>
      <c r="V198" s="28">
        <f t="shared" si="253"/>
        <v>11</v>
      </c>
      <c r="W198" s="28">
        <f t="shared" si="253"/>
        <v>12</v>
      </c>
      <c r="X198" s="28">
        <f t="shared" si="253"/>
        <v>13</v>
      </c>
      <c r="Y198" s="28">
        <f t="shared" si="253"/>
        <v>14</v>
      </c>
      <c r="Z198" s="28">
        <f t="shared" si="253"/>
        <v>15</v>
      </c>
      <c r="AA198" s="28">
        <f t="shared" si="253"/>
        <v>16</v>
      </c>
      <c r="AB198" s="28">
        <f t="shared" si="253"/>
        <v>17</v>
      </c>
      <c r="AC198" s="28">
        <f t="shared" si="253"/>
        <v>18</v>
      </c>
      <c r="AD198" s="28">
        <f t="shared" si="253"/>
        <v>19</v>
      </c>
      <c r="AE198" s="28">
        <f t="shared" si="253"/>
        <v>20</v>
      </c>
      <c r="AF198" s="28">
        <f t="shared" si="253"/>
        <v>21</v>
      </c>
      <c r="AG198" s="28">
        <f t="shared" si="253"/>
        <v>22</v>
      </c>
      <c r="AH198" s="28">
        <f t="shared" si="253"/>
        <v>23</v>
      </c>
      <c r="AI198" s="28">
        <f t="shared" si="253"/>
        <v>24</v>
      </c>
      <c r="AJ198" s="28">
        <f t="shared" si="253"/>
        <v>25</v>
      </c>
      <c r="AK198" s="28">
        <f t="shared" si="253"/>
        <v>26</v>
      </c>
      <c r="AL198" s="28">
        <f t="shared" si="253"/>
        <v>27</v>
      </c>
      <c r="AM198" s="28">
        <f t="shared" si="253"/>
        <v>28</v>
      </c>
      <c r="AN198" s="28">
        <f t="shared" si="253"/>
        <v>29</v>
      </c>
      <c r="AO198" s="28">
        <f t="shared" si="253"/>
        <v>30</v>
      </c>
      <c r="AP198" s="28">
        <f t="shared" si="253"/>
        <v>31</v>
      </c>
      <c r="AQ198" s="28">
        <f t="shared" si="253"/>
        <v>32</v>
      </c>
      <c r="AR198" s="28">
        <f t="shared" si="253"/>
        <v>33</v>
      </c>
      <c r="AS198" s="28">
        <f t="shared" si="253"/>
        <v>34</v>
      </c>
      <c r="AT198" s="28">
        <f t="shared" si="253"/>
        <v>35</v>
      </c>
      <c r="AU198" s="28">
        <f t="shared" si="253"/>
        <v>36</v>
      </c>
      <c r="AW198" s="41">
        <f t="shared" ref="AW198:BD198" si="254">AV198+1</f>
        <v>1</v>
      </c>
      <c r="AX198" s="41">
        <f t="shared" si="254"/>
        <v>2</v>
      </c>
      <c r="AY198" s="41">
        <f t="shared" si="254"/>
        <v>3</v>
      </c>
      <c r="AZ198" s="41">
        <f t="shared" si="254"/>
        <v>4</v>
      </c>
      <c r="BA198" s="41">
        <f t="shared" si="254"/>
        <v>5</v>
      </c>
      <c r="BB198" s="41">
        <f t="shared" si="254"/>
        <v>6</v>
      </c>
      <c r="BC198" s="41">
        <f t="shared" si="254"/>
        <v>7</v>
      </c>
      <c r="BD198" s="41">
        <f t="shared" si="254"/>
        <v>8</v>
      </c>
      <c r="BF198" s="44">
        <f>BE198+1</f>
        <v>1</v>
      </c>
      <c r="BG198" s="44">
        <f>BF198+1</f>
        <v>2</v>
      </c>
      <c r="BH198" s="44">
        <f>BG198+1</f>
        <v>3</v>
      </c>
      <c r="BI198" s="44">
        <f>BH198+1</f>
        <v>4</v>
      </c>
      <c r="BJ198" s="44">
        <f>BI198+1</f>
        <v>5</v>
      </c>
    </row>
    <row r="199" spans="2:62" x14ac:dyDescent="0.2">
      <c r="C199" s="19" t="s">
        <v>53</v>
      </c>
      <c r="D199" s="20"/>
      <c r="E199" s="20"/>
      <c r="F199" s="20"/>
      <c r="G199" s="20"/>
      <c r="H199" s="20"/>
      <c r="I199" s="20"/>
      <c r="J199" s="20"/>
      <c r="K199" s="20"/>
      <c r="L199" s="21">
        <f t="shared" ref="L199:AU199" si="255">L197</f>
        <v>44957</v>
      </c>
      <c r="M199" s="21">
        <f t="shared" si="255"/>
        <v>44985</v>
      </c>
      <c r="N199" s="21">
        <f t="shared" si="255"/>
        <v>45016</v>
      </c>
      <c r="O199" s="21">
        <f t="shared" si="255"/>
        <v>45046</v>
      </c>
      <c r="P199" s="21">
        <f t="shared" si="255"/>
        <v>45077</v>
      </c>
      <c r="Q199" s="21">
        <f t="shared" si="255"/>
        <v>45107</v>
      </c>
      <c r="R199" s="21">
        <f t="shared" si="255"/>
        <v>45138</v>
      </c>
      <c r="S199" s="21">
        <f t="shared" si="255"/>
        <v>45169</v>
      </c>
      <c r="T199" s="21">
        <f t="shared" si="255"/>
        <v>45199</v>
      </c>
      <c r="U199" s="21">
        <f t="shared" si="255"/>
        <v>45230</v>
      </c>
      <c r="V199" s="21">
        <f t="shared" si="255"/>
        <v>45260</v>
      </c>
      <c r="W199" s="21">
        <f t="shared" si="255"/>
        <v>45291</v>
      </c>
      <c r="X199" s="21">
        <f t="shared" si="255"/>
        <v>45322</v>
      </c>
      <c r="Y199" s="21">
        <f t="shared" si="255"/>
        <v>45351</v>
      </c>
      <c r="Z199" s="21">
        <f t="shared" si="255"/>
        <v>45382</v>
      </c>
      <c r="AA199" s="21">
        <f t="shared" si="255"/>
        <v>45412</v>
      </c>
      <c r="AB199" s="21">
        <f t="shared" si="255"/>
        <v>45443</v>
      </c>
      <c r="AC199" s="21">
        <f t="shared" si="255"/>
        <v>45473</v>
      </c>
      <c r="AD199" s="21">
        <f t="shared" si="255"/>
        <v>45504</v>
      </c>
      <c r="AE199" s="21">
        <f t="shared" si="255"/>
        <v>45535</v>
      </c>
      <c r="AF199" s="21">
        <f t="shared" si="255"/>
        <v>45565</v>
      </c>
      <c r="AG199" s="21">
        <f t="shared" si="255"/>
        <v>45596</v>
      </c>
      <c r="AH199" s="21">
        <f t="shared" si="255"/>
        <v>45626</v>
      </c>
      <c r="AI199" s="21">
        <f t="shared" si="255"/>
        <v>45657</v>
      </c>
      <c r="AJ199" s="21">
        <f t="shared" si="255"/>
        <v>45688</v>
      </c>
      <c r="AK199" s="21">
        <f t="shared" si="255"/>
        <v>45716</v>
      </c>
      <c r="AL199" s="21">
        <f t="shared" si="255"/>
        <v>45747</v>
      </c>
      <c r="AM199" s="21">
        <f t="shared" si="255"/>
        <v>45777</v>
      </c>
      <c r="AN199" s="21">
        <f t="shared" si="255"/>
        <v>45808</v>
      </c>
      <c r="AO199" s="21">
        <f t="shared" si="255"/>
        <v>45838</v>
      </c>
      <c r="AP199" s="21">
        <f t="shared" si="255"/>
        <v>45869</v>
      </c>
      <c r="AQ199" s="21">
        <f t="shared" si="255"/>
        <v>45900</v>
      </c>
      <c r="AR199" s="21">
        <f t="shared" si="255"/>
        <v>45930</v>
      </c>
      <c r="AS199" s="21">
        <f t="shared" si="255"/>
        <v>45961</v>
      </c>
      <c r="AT199" s="21">
        <f t="shared" si="255"/>
        <v>45991</v>
      </c>
      <c r="AU199" s="21">
        <f t="shared" si="255"/>
        <v>46022</v>
      </c>
      <c r="AW199" s="21">
        <f t="shared" ref="AW199:BD199" si="256">AW197</f>
        <v>45382</v>
      </c>
      <c r="AX199" s="21">
        <f t="shared" si="256"/>
        <v>45473</v>
      </c>
      <c r="AY199" s="21">
        <f t="shared" si="256"/>
        <v>45565</v>
      </c>
      <c r="AZ199" s="21">
        <f t="shared" si="256"/>
        <v>45657</v>
      </c>
      <c r="BA199" s="21">
        <f t="shared" si="256"/>
        <v>45747</v>
      </c>
      <c r="BB199" s="21">
        <f t="shared" si="256"/>
        <v>45838</v>
      </c>
      <c r="BC199" s="21">
        <f t="shared" si="256"/>
        <v>45930</v>
      </c>
      <c r="BD199" s="21">
        <f t="shared" si="256"/>
        <v>46022</v>
      </c>
      <c r="BF199" s="21">
        <f>BF197</f>
        <v>45657</v>
      </c>
      <c r="BG199" s="21">
        <f>BG197</f>
        <v>46022</v>
      </c>
      <c r="BH199" s="21">
        <f>BH197</f>
        <v>46387</v>
      </c>
      <c r="BI199" s="21">
        <f>BI197</f>
        <v>46752</v>
      </c>
      <c r="BJ199" s="21">
        <f>BJ197</f>
        <v>47118</v>
      </c>
    </row>
    <row r="200" spans="2:62" x14ac:dyDescent="0.2">
      <c r="C200" s="22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W200" s="10"/>
      <c r="AX200" s="10"/>
      <c r="AY200" s="10"/>
      <c r="AZ200" s="10"/>
      <c r="BA200" s="10"/>
      <c r="BB200" s="10"/>
      <c r="BC200" s="10"/>
      <c r="BD200" s="10"/>
      <c r="BF200" s="10"/>
      <c r="BG200" s="10"/>
      <c r="BH200" s="10"/>
      <c r="BI200" s="10"/>
      <c r="BJ200" s="10"/>
    </row>
    <row r="201" spans="2:62" x14ac:dyDescent="0.2">
      <c r="C201" s="22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W201" s="10"/>
      <c r="AX201" s="10"/>
      <c r="AY201" s="10"/>
      <c r="AZ201" s="10"/>
      <c r="BA201" s="10"/>
      <c r="BB201" s="10"/>
      <c r="BC201" s="10"/>
      <c r="BD201" s="10"/>
      <c r="BF201" s="10"/>
      <c r="BG201" s="10"/>
      <c r="BH201" s="10"/>
      <c r="BI201" s="10"/>
      <c r="BJ201" s="10"/>
    </row>
    <row r="202" spans="2:62" x14ac:dyDescent="0.2">
      <c r="C202" s="48" t="s">
        <v>434</v>
      </c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  <c r="AT202" s="49"/>
      <c r="AU202" s="49"/>
      <c r="AW202" s="49"/>
      <c r="AX202" s="49"/>
      <c r="AY202" s="49"/>
      <c r="AZ202" s="49"/>
      <c r="BA202" s="49"/>
      <c r="BB202" s="49"/>
      <c r="BC202" s="49"/>
      <c r="BD202" s="49"/>
      <c r="BF202" s="49"/>
      <c r="BG202" s="49"/>
      <c r="BH202" s="49"/>
      <c r="BI202" s="49"/>
      <c r="BJ202" s="49"/>
    </row>
    <row r="203" spans="2:62" x14ac:dyDescent="0.2">
      <c r="C203" s="22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W203" s="10"/>
      <c r="AX203" s="10"/>
      <c r="AY203" s="10"/>
      <c r="AZ203" s="10"/>
      <c r="BA203" s="10"/>
      <c r="BB203" s="10"/>
      <c r="BC203" s="10"/>
      <c r="BD203" s="10"/>
      <c r="BF203" s="10"/>
      <c r="BG203" s="10"/>
      <c r="BH203" s="10"/>
      <c r="BI203" s="10"/>
      <c r="BJ203" s="10"/>
    </row>
    <row r="204" spans="2:62" x14ac:dyDescent="0.2">
      <c r="C204" s="23" t="s">
        <v>13</v>
      </c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W204" s="176">
        <f>'Sales, COGS, Sales Team'!AW36</f>
        <v>9294.7500000000018</v>
      </c>
      <c r="AX204" s="176">
        <f>'Sales, COGS, Sales Team'!AX36</f>
        <v>18589.500000000004</v>
      </c>
      <c r="AY204" s="176">
        <f>'Sales, COGS, Sales Team'!AY36</f>
        <v>49572.000000000007</v>
      </c>
      <c r="AZ204" s="176">
        <f>'Sales, COGS, Sales Team'!AZ36</f>
        <v>121500</v>
      </c>
      <c r="BA204" s="176">
        <f>'Sales, COGS, Sales Team'!BA36</f>
        <v>164025</v>
      </c>
      <c r="BB204" s="176">
        <f>'Sales, COGS, Sales Team'!BB36</f>
        <v>267300</v>
      </c>
      <c r="BC204" s="176">
        <f>'Sales, COGS, Sales Team'!BC36</f>
        <v>328050</v>
      </c>
      <c r="BD204" s="176">
        <f>'Sales, COGS, Sales Team'!BD36</f>
        <v>388800</v>
      </c>
      <c r="BF204" s="86">
        <f>SUMIFS($AW204:$BD204,'Sales, COGS, Sales Team'!$AW$11:$BD$11,"&gt;"&amp;'Sales, COGS, Sales Team'!BE$11,'Sales, COGS, Sales Team'!$AW$11:$BD$11,"&lt;="&amp;'Sales, COGS, Sales Team'!BF$11)</f>
        <v>198956.25</v>
      </c>
      <c r="BG204" s="86">
        <f>SUMIFS($AW204:$BD204,'Sales, COGS, Sales Team'!$AW$11:$BD$11,"&gt;"&amp;'Sales, COGS, Sales Team'!BF$11,'Sales, COGS, Sales Team'!$AW$11:$BD$11,"&lt;="&amp;'Sales, COGS, Sales Team'!BG$11)</f>
        <v>1148175</v>
      </c>
      <c r="BH204" s="176">
        <f>'Sales, COGS, Sales Team'!BH36</f>
        <v>2041200</v>
      </c>
      <c r="BI204" s="176">
        <f>'Sales, COGS, Sales Team'!BI36</f>
        <v>3985200</v>
      </c>
      <c r="BJ204" s="176">
        <f>'Sales, COGS, Sales Team'!BJ36</f>
        <v>6901200</v>
      </c>
    </row>
    <row r="205" spans="2:62" x14ac:dyDescent="0.2">
      <c r="C205" s="23" t="s">
        <v>243</v>
      </c>
      <c r="D205" s="10"/>
      <c r="E205" s="10"/>
      <c r="F205" s="10"/>
      <c r="G205" s="185">
        <f>'Key Assumptions + Summary'!$D$85</f>
        <v>0.23</v>
      </c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W205" s="86">
        <f t="shared" ref="AW205:BD205" si="257">AW204*$G$205</f>
        <v>2137.7925000000005</v>
      </c>
      <c r="AX205" s="86">
        <f t="shared" si="257"/>
        <v>4275.5850000000009</v>
      </c>
      <c r="AY205" s="86">
        <f t="shared" si="257"/>
        <v>11401.560000000001</v>
      </c>
      <c r="AZ205" s="86">
        <f t="shared" si="257"/>
        <v>27945</v>
      </c>
      <c r="BA205" s="86">
        <f t="shared" si="257"/>
        <v>37725.75</v>
      </c>
      <c r="BB205" s="86">
        <f t="shared" si="257"/>
        <v>61479</v>
      </c>
      <c r="BC205" s="86">
        <f t="shared" si="257"/>
        <v>75451.5</v>
      </c>
      <c r="BD205" s="86">
        <f t="shared" si="257"/>
        <v>89424</v>
      </c>
      <c r="BF205" s="86">
        <f>SUMIFS($AW205:$BD205,'Sales, COGS, Sales Team'!$AW$11:$BD$11,"&gt;"&amp;'Sales, COGS, Sales Team'!BE$11,'Sales, COGS, Sales Team'!$AW$11:$BD$11,"&lt;="&amp;'Sales, COGS, Sales Team'!BF$11)</f>
        <v>45759.9375</v>
      </c>
      <c r="BG205" s="86">
        <f>SUMIFS($AW205:$BD205,'Sales, COGS, Sales Team'!$AW$11:$BD$11,"&gt;"&amp;'Sales, COGS, Sales Team'!BF$11,'Sales, COGS, Sales Team'!$AW$11:$BD$11,"&lt;="&amp;'Sales, COGS, Sales Team'!BG$11)</f>
        <v>264080.25</v>
      </c>
      <c r="BH205" s="86">
        <f>BH204*$G$205</f>
        <v>469476</v>
      </c>
      <c r="BI205" s="86">
        <f>BI204*$G$205</f>
        <v>916596</v>
      </c>
      <c r="BJ205" s="86">
        <f>BJ204*$G$205</f>
        <v>1587276</v>
      </c>
    </row>
    <row r="206" spans="2:62" x14ac:dyDescent="0.2">
      <c r="C206" s="22"/>
      <c r="D206" s="10"/>
      <c r="E206" s="10"/>
      <c r="F206" s="10"/>
      <c r="G206" s="253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W206" s="10"/>
      <c r="AX206" s="10"/>
      <c r="AY206" s="10"/>
      <c r="AZ206" s="10"/>
      <c r="BA206" s="10"/>
      <c r="BB206" s="10"/>
      <c r="BC206" s="10"/>
      <c r="BD206" s="10"/>
      <c r="BF206" s="10"/>
      <c r="BG206" s="10"/>
      <c r="BH206" s="10"/>
      <c r="BI206" s="10"/>
      <c r="BJ206" s="10"/>
    </row>
    <row r="207" spans="2:62" x14ac:dyDescent="0.2">
      <c r="C207" s="23" t="s">
        <v>244</v>
      </c>
      <c r="D207" s="10"/>
      <c r="E207" s="10"/>
      <c r="F207" s="10"/>
      <c r="G207" s="252">
        <f>'Key Assumptions + Summary'!$D$87</f>
        <v>5200000</v>
      </c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W207" s="24">
        <f>IF($G$207-AW205&gt;0,$G$207-AW205,0)</f>
        <v>5197862.2074999996</v>
      </c>
      <c r="AX207" s="24">
        <f t="shared" ref="AX207:BD207" si="258">IF(AW207-AX205&gt;0,AW207-AX205,0)</f>
        <v>5193586.6224999996</v>
      </c>
      <c r="AY207" s="24">
        <f t="shared" si="258"/>
        <v>5182185.0625</v>
      </c>
      <c r="AZ207" s="24">
        <f t="shared" si="258"/>
        <v>5154240.0625</v>
      </c>
      <c r="BA207" s="24">
        <f t="shared" si="258"/>
        <v>5116514.3125</v>
      </c>
      <c r="BB207" s="24">
        <f t="shared" si="258"/>
        <v>5055035.3125</v>
      </c>
      <c r="BC207" s="24">
        <f t="shared" si="258"/>
        <v>4979583.8125</v>
      </c>
      <c r="BD207" s="24">
        <f t="shared" si="258"/>
        <v>4890159.8125</v>
      </c>
      <c r="BF207" s="24">
        <f>IF($G$207-BF205&gt;0,$G$207-BF205,0)</f>
        <v>5154240.0625</v>
      </c>
      <c r="BG207" s="24">
        <f>IF(BF207-BG205&gt;0,BF207-BG205,0)</f>
        <v>4890159.8125</v>
      </c>
      <c r="BH207" s="24">
        <f>IF(BG207-BH205&gt;0,BG207-BH205,0)</f>
        <v>4420683.8125</v>
      </c>
      <c r="BI207" s="24">
        <f>IF(BH207-BI205&gt;0,BH207-BI205,0)</f>
        <v>3504087.8125</v>
      </c>
      <c r="BJ207" s="24">
        <f>IF(BI207-BJ205&gt;0,BI207-BJ205,0)</f>
        <v>1916811.8125</v>
      </c>
    </row>
    <row r="208" spans="2:62" x14ac:dyDescent="0.2">
      <c r="C208" s="23" t="s">
        <v>245</v>
      </c>
      <c r="D208" s="10"/>
      <c r="E208" s="10"/>
      <c r="F208" s="10"/>
      <c r="G208" s="175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W208" s="24">
        <f t="shared" ref="AW208:BD208" si="259">IF(AW207&gt;0,0,IF(AW207&gt;0,AW205-AW207,AW205))</f>
        <v>0</v>
      </c>
      <c r="AX208" s="24">
        <f t="shared" si="259"/>
        <v>0</v>
      </c>
      <c r="AY208" s="24">
        <f t="shared" si="259"/>
        <v>0</v>
      </c>
      <c r="AZ208" s="24">
        <f t="shared" si="259"/>
        <v>0</v>
      </c>
      <c r="BA208" s="24">
        <f t="shared" si="259"/>
        <v>0</v>
      </c>
      <c r="BB208" s="24">
        <f t="shared" si="259"/>
        <v>0</v>
      </c>
      <c r="BC208" s="24">
        <f t="shared" si="259"/>
        <v>0</v>
      </c>
      <c r="BD208" s="24">
        <f t="shared" si="259"/>
        <v>0</v>
      </c>
      <c r="BF208" s="24">
        <f>IF(BF207&gt;0,0,IF(BF207&gt;0,BF205-BF207,BF205))</f>
        <v>0</v>
      </c>
      <c r="BG208" s="24">
        <f>IF(BG207&gt;0,0,IF(BG207&gt;0,BG205-BG207,BG205))</f>
        <v>0</v>
      </c>
      <c r="BH208" s="24">
        <f>IF(BH207&gt;0,0,IF(BH207&gt;0,BH205-BH207,BH205))</f>
        <v>0</v>
      </c>
      <c r="BI208" s="24">
        <f>IF(BI207&gt;0,0,IF(BI207&gt;0,BI205-BI207,BI205))</f>
        <v>0</v>
      </c>
      <c r="BJ208" s="24">
        <f>IF(BJ207&gt;0,0,IF(BJ207&gt;0,BJ205-BJ207,BJ205))</f>
        <v>0</v>
      </c>
    </row>
    <row r="209" spans="3:62" x14ac:dyDescent="0.2">
      <c r="C209" s="22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W209" s="10"/>
      <c r="AX209" s="10"/>
      <c r="AY209" s="10"/>
      <c r="AZ209" s="10"/>
      <c r="BA209" s="10"/>
      <c r="BB209" s="10"/>
      <c r="BC209" s="10"/>
      <c r="BD209" s="10"/>
      <c r="BF209" s="10"/>
      <c r="BG209" s="10"/>
      <c r="BH209" s="10"/>
      <c r="BI209" s="10"/>
      <c r="BJ209" s="10"/>
    </row>
    <row r="210" spans="3:62" x14ac:dyDescent="0.2">
      <c r="C210" s="23" t="s">
        <v>246</v>
      </c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W210" s="24">
        <f t="shared" ref="AW210:BD210" si="260">IF(AW208=0,AW205,0)</f>
        <v>2137.7925000000005</v>
      </c>
      <c r="AX210" s="24">
        <f t="shared" si="260"/>
        <v>4275.5850000000009</v>
      </c>
      <c r="AY210" s="24">
        <f t="shared" si="260"/>
        <v>11401.560000000001</v>
      </c>
      <c r="AZ210" s="24">
        <f t="shared" si="260"/>
        <v>27945</v>
      </c>
      <c r="BA210" s="24">
        <f t="shared" si="260"/>
        <v>37725.75</v>
      </c>
      <c r="BB210" s="24">
        <f t="shared" si="260"/>
        <v>61479</v>
      </c>
      <c r="BC210" s="24">
        <f t="shared" si="260"/>
        <v>75451.5</v>
      </c>
      <c r="BD210" s="24">
        <f t="shared" si="260"/>
        <v>89424</v>
      </c>
      <c r="BF210" s="24">
        <f>IF(BF208=0,BF205,0)</f>
        <v>45759.9375</v>
      </c>
      <c r="BG210" s="24">
        <f>IF(BG208=0,BG205,0)</f>
        <v>264080.25</v>
      </c>
      <c r="BH210" s="24">
        <f>IF(BH208=0,BH205,0)</f>
        <v>469476</v>
      </c>
      <c r="BI210" s="24">
        <f>IF(BI208=0,BI205,0)</f>
        <v>916596</v>
      </c>
      <c r="BJ210" s="24">
        <f>IF(BJ208=0,BJ205,0)</f>
        <v>1587276</v>
      </c>
    </row>
    <row r="211" spans="3:62" x14ac:dyDescent="0.2">
      <c r="C211" s="23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W211" s="10"/>
      <c r="AX211" s="10"/>
      <c r="AY211" s="10"/>
      <c r="AZ211" s="10"/>
      <c r="BA211" s="10"/>
      <c r="BB211" s="10"/>
      <c r="BC211" s="10"/>
      <c r="BD211" s="10"/>
      <c r="BF211" s="10"/>
      <c r="BG211" s="10"/>
      <c r="BH211" s="10"/>
      <c r="BI211" s="10"/>
      <c r="BJ211" s="10"/>
    </row>
    <row r="212" spans="3:62" x14ac:dyDescent="0.2">
      <c r="C212" s="48" t="s">
        <v>433</v>
      </c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  <c r="AT212" s="49"/>
      <c r="AU212" s="49"/>
      <c r="AW212" s="49"/>
      <c r="AX212" s="49"/>
      <c r="AY212" s="49"/>
      <c r="AZ212" s="49"/>
      <c r="BA212" s="49"/>
      <c r="BB212" s="49"/>
      <c r="BC212" s="49"/>
      <c r="BD212" s="49"/>
      <c r="BF212" s="49"/>
      <c r="BG212" s="49"/>
      <c r="BH212" s="49"/>
      <c r="BI212" s="49"/>
      <c r="BJ212" s="49"/>
    </row>
    <row r="214" spans="3:62" x14ac:dyDescent="0.2">
      <c r="C214" s="141" t="s">
        <v>211</v>
      </c>
    </row>
    <row r="215" spans="3:62" x14ac:dyDescent="0.2">
      <c r="C215" s="142" t="s">
        <v>212</v>
      </c>
      <c r="AW215" s="136">
        <f t="shared" ref="AW215:BD216" si="261">AW16</f>
        <v>59899.500000000007</v>
      </c>
      <c r="AX215" s="136">
        <f t="shared" si="261"/>
        <v>233510.85</v>
      </c>
      <c r="AY215" s="136">
        <f t="shared" si="261"/>
        <v>281096.66925000004</v>
      </c>
      <c r="AZ215" s="136">
        <f t="shared" si="261"/>
        <v>493593.75000000006</v>
      </c>
      <c r="BA215" s="136">
        <f t="shared" si="261"/>
        <v>957825.00000000012</v>
      </c>
      <c r="BB215" s="136">
        <f t="shared" si="261"/>
        <v>1225813.5000000002</v>
      </c>
      <c r="BC215" s="136">
        <f t="shared" si="261"/>
        <v>1452596.6925000001</v>
      </c>
      <c r="BD215" s="136">
        <f t="shared" si="261"/>
        <v>1678725.0000000002</v>
      </c>
      <c r="BF215" s="136">
        <f t="shared" ref="BF215:BJ216" si="262">BF16</f>
        <v>1068100.7692500001</v>
      </c>
      <c r="BG215" s="136">
        <f t="shared" si="262"/>
        <v>5314960.1925000008</v>
      </c>
      <c r="BH215" s="136">
        <f t="shared" si="262"/>
        <v>10177650</v>
      </c>
      <c r="BI215" s="136">
        <f t="shared" si="262"/>
        <v>21051900.000000004</v>
      </c>
      <c r="BJ215" s="136">
        <f t="shared" si="262"/>
        <v>40836150.000000007</v>
      </c>
    </row>
    <row r="216" spans="3:62" x14ac:dyDescent="0.2">
      <c r="C216" s="142" t="s">
        <v>225</v>
      </c>
      <c r="AW216" s="136">
        <f t="shared" si="261"/>
        <v>15766.244723863638</v>
      </c>
      <c r="AX216" s="136">
        <f t="shared" si="261"/>
        <v>62054.797785545452</v>
      </c>
      <c r="AY216" s="136">
        <f t="shared" si="261"/>
        <v>73788.156009834551</v>
      </c>
      <c r="AZ216" s="136">
        <f t="shared" si="261"/>
        <v>128412.85295454545</v>
      </c>
      <c r="BA216" s="136">
        <f t="shared" si="261"/>
        <v>251594.0711590909</v>
      </c>
      <c r="BB216" s="136">
        <f t="shared" si="261"/>
        <v>320061.90194181824</v>
      </c>
      <c r="BC216" s="136">
        <f t="shared" si="261"/>
        <v>378896.29561652726</v>
      </c>
      <c r="BD216" s="136">
        <f t="shared" si="261"/>
        <v>437554.90636363637</v>
      </c>
      <c r="BF216" s="136">
        <f t="shared" si="262"/>
        <v>280022.05147378909</v>
      </c>
      <c r="BG216" s="136">
        <f t="shared" si="262"/>
        <v>1388107.1750810728</v>
      </c>
      <c r="BH216" s="136">
        <f t="shared" si="262"/>
        <v>2663377.6909090909</v>
      </c>
      <c r="BI216" s="136">
        <f t="shared" si="262"/>
        <v>5516996.6454545455</v>
      </c>
      <c r="BJ216" s="136">
        <f t="shared" si="262"/>
        <v>10729607.26909091</v>
      </c>
    </row>
    <row r="217" spans="3:62" x14ac:dyDescent="0.2">
      <c r="C217" s="142" t="s">
        <v>213</v>
      </c>
      <c r="AW217" s="136">
        <f t="shared" ref="AW217:BD217" si="263">AW103</f>
        <v>419753.22321225074</v>
      </c>
      <c r="AX217" s="136">
        <f t="shared" si="263"/>
        <v>419301.84746225073</v>
      </c>
      <c r="AY217" s="136">
        <f t="shared" si="263"/>
        <v>403919.06752100069</v>
      </c>
      <c r="AZ217" s="136">
        <f t="shared" si="263"/>
        <v>748144.86850071233</v>
      </c>
      <c r="BA217" s="136">
        <f t="shared" si="263"/>
        <v>1055122.467948718</v>
      </c>
      <c r="BB217" s="136">
        <f t="shared" si="263"/>
        <v>1046784.9123717949</v>
      </c>
      <c r="BC217" s="136">
        <f t="shared" si="263"/>
        <v>1059257.9879592948</v>
      </c>
      <c r="BD217" s="136">
        <f t="shared" si="263"/>
        <v>916127.73717948725</v>
      </c>
      <c r="BF217" s="136">
        <f>BF103</f>
        <v>1991119.0066962144</v>
      </c>
      <c r="BG217" s="136">
        <f>BG103</f>
        <v>4077293.1054592943</v>
      </c>
      <c r="BH217" s="136">
        <f>BH103</f>
        <v>3596034</v>
      </c>
      <c r="BI217" s="136">
        <f>BI103</f>
        <v>4761473.1124999998</v>
      </c>
      <c r="BJ217" s="136">
        <f>BJ103</f>
        <v>6704308.189375001</v>
      </c>
    </row>
    <row r="218" spans="3:62" x14ac:dyDescent="0.2">
      <c r="C218" s="142" t="s">
        <v>214</v>
      </c>
      <c r="AW218" s="136">
        <f t="shared" ref="AW218:BD218" si="264">AW35+AW90</f>
        <v>235239.12064814815</v>
      </c>
      <c r="AX218" s="136">
        <f t="shared" si="264"/>
        <v>244787.74489814814</v>
      </c>
      <c r="AY218" s="136">
        <f t="shared" si="264"/>
        <v>246071.63162356481</v>
      </c>
      <c r="AZ218" s="136">
        <f t="shared" si="264"/>
        <v>257092.30439814815</v>
      </c>
      <c r="BA218" s="136">
        <f t="shared" si="264"/>
        <v>458962.08333333331</v>
      </c>
      <c r="BB218" s="136">
        <f t="shared" si="264"/>
        <v>473701.45083333331</v>
      </c>
      <c r="BC218" s="136">
        <f t="shared" si="264"/>
        <v>486174.52642083331</v>
      </c>
      <c r="BD218" s="136">
        <f t="shared" si="264"/>
        <v>519236.58333333331</v>
      </c>
      <c r="BF218" s="136">
        <f>BF35+BF90</f>
        <v>983190.80156800919</v>
      </c>
      <c r="BG218" s="136">
        <f>BG35+BG90</f>
        <v>1938074.6439208332</v>
      </c>
      <c r="BH218" s="136">
        <f>BH35+BH90</f>
        <v>2879211</v>
      </c>
      <c r="BI218" s="136">
        <f>BI35+BI90</f>
        <v>4187779.8125</v>
      </c>
      <c r="BJ218" s="136">
        <f>BJ35+BJ90</f>
        <v>6093402.359375</v>
      </c>
    </row>
    <row r="219" spans="3:62" x14ac:dyDescent="0.2">
      <c r="C219" s="142" t="s">
        <v>215</v>
      </c>
      <c r="AW219" s="7">
        <f t="shared" ref="AW219:BD219" si="265">DATEDIF(AV197,AW197,"D")</f>
        <v>91</v>
      </c>
      <c r="AX219" s="7">
        <f t="shared" si="265"/>
        <v>91</v>
      </c>
      <c r="AY219" s="7">
        <f t="shared" si="265"/>
        <v>92</v>
      </c>
      <c r="AZ219" s="7">
        <f t="shared" si="265"/>
        <v>92</v>
      </c>
      <c r="BA219" s="7">
        <f t="shared" si="265"/>
        <v>90</v>
      </c>
      <c r="BB219" s="7">
        <f t="shared" si="265"/>
        <v>91</v>
      </c>
      <c r="BC219" s="7">
        <f t="shared" si="265"/>
        <v>92</v>
      </c>
      <c r="BD219" s="7">
        <f t="shared" si="265"/>
        <v>92</v>
      </c>
      <c r="BF219" s="7">
        <f>DATEDIF(BE197,BF197,"D")</f>
        <v>366</v>
      </c>
      <c r="BG219" s="7">
        <f>DATEDIF(BF197,BG197,"D")</f>
        <v>365</v>
      </c>
      <c r="BH219" s="7">
        <f>DATEDIF(BG197,BH197,"D")</f>
        <v>365</v>
      </c>
      <c r="BI219" s="7">
        <f>DATEDIF(BH197,BI197,"D")</f>
        <v>365</v>
      </c>
      <c r="BJ219" s="7">
        <f>DATEDIF(BI197,BJ197,"D")</f>
        <v>366</v>
      </c>
    </row>
    <row r="221" spans="3:62" x14ac:dyDescent="0.2">
      <c r="C221" s="141" t="s">
        <v>216</v>
      </c>
      <c r="I221" s="296"/>
    </row>
    <row r="222" spans="3:62" x14ac:dyDescent="0.2">
      <c r="C222" s="143" t="s">
        <v>217</v>
      </c>
      <c r="I222" s="30" t="s">
        <v>443</v>
      </c>
      <c r="J222" s="30"/>
    </row>
    <row r="223" spans="3:62" x14ac:dyDescent="0.2">
      <c r="C223" s="23" t="s">
        <v>218</v>
      </c>
      <c r="I223" s="295">
        <v>45</v>
      </c>
      <c r="AW223" s="336">
        <f>$I223</f>
        <v>45</v>
      </c>
      <c r="AX223" s="336">
        <f t="shared" ref="AX223:BJ223" si="266">$I223</f>
        <v>45</v>
      </c>
      <c r="AY223" s="336">
        <f t="shared" si="266"/>
        <v>45</v>
      </c>
      <c r="AZ223" s="336">
        <f t="shared" si="266"/>
        <v>45</v>
      </c>
      <c r="BA223" s="336">
        <f t="shared" si="266"/>
        <v>45</v>
      </c>
      <c r="BB223" s="336">
        <f t="shared" si="266"/>
        <v>45</v>
      </c>
      <c r="BC223" s="336">
        <f t="shared" si="266"/>
        <v>45</v>
      </c>
      <c r="BD223" s="336">
        <f t="shared" si="266"/>
        <v>45</v>
      </c>
      <c r="BE223" s="137"/>
      <c r="BF223" s="336">
        <f t="shared" si="266"/>
        <v>45</v>
      </c>
      <c r="BG223" s="336">
        <f t="shared" si="266"/>
        <v>45</v>
      </c>
      <c r="BH223" s="336">
        <f t="shared" si="266"/>
        <v>45</v>
      </c>
      <c r="BI223" s="336">
        <f t="shared" si="266"/>
        <v>45</v>
      </c>
      <c r="BJ223" s="336">
        <f t="shared" si="266"/>
        <v>45</v>
      </c>
    </row>
    <row r="224" spans="3:62" x14ac:dyDescent="0.2">
      <c r="C224" s="23" t="s">
        <v>219</v>
      </c>
      <c r="I224" s="295"/>
      <c r="AW224" s="336">
        <f>$I224</f>
        <v>0</v>
      </c>
      <c r="AX224" s="336">
        <f t="shared" ref="AX224:BJ224" si="267">$I224*$J224</f>
        <v>0</v>
      </c>
      <c r="AY224" s="336">
        <f t="shared" si="267"/>
        <v>0</v>
      </c>
      <c r="AZ224" s="336">
        <f t="shared" si="267"/>
        <v>0</v>
      </c>
      <c r="BA224" s="336">
        <f t="shared" si="267"/>
        <v>0</v>
      </c>
      <c r="BB224" s="336">
        <f t="shared" si="267"/>
        <v>0</v>
      </c>
      <c r="BC224" s="336">
        <f t="shared" si="267"/>
        <v>0</v>
      </c>
      <c r="BD224" s="336">
        <f t="shared" si="267"/>
        <v>0</v>
      </c>
      <c r="BE224" s="137"/>
      <c r="BF224" s="336">
        <f t="shared" si="267"/>
        <v>0</v>
      </c>
      <c r="BG224" s="336">
        <f t="shared" si="267"/>
        <v>0</v>
      </c>
      <c r="BH224" s="336">
        <f t="shared" si="267"/>
        <v>0</v>
      </c>
      <c r="BI224" s="336">
        <f t="shared" si="267"/>
        <v>0</v>
      </c>
      <c r="BJ224" s="336">
        <f t="shared" si="267"/>
        <v>0</v>
      </c>
    </row>
    <row r="225" spans="3:62" x14ac:dyDescent="0.2">
      <c r="C225" s="23" t="s">
        <v>176</v>
      </c>
      <c r="I225" s="295">
        <v>45</v>
      </c>
      <c r="AW225" s="336">
        <f>$I225</f>
        <v>45</v>
      </c>
      <c r="AX225" s="336">
        <f t="shared" ref="AX225:BD225" si="268">$I225</f>
        <v>45</v>
      </c>
      <c r="AY225" s="336">
        <f t="shared" si="268"/>
        <v>45</v>
      </c>
      <c r="AZ225" s="336">
        <f t="shared" si="268"/>
        <v>45</v>
      </c>
      <c r="BA225" s="336">
        <f t="shared" si="268"/>
        <v>45</v>
      </c>
      <c r="BB225" s="336">
        <f t="shared" si="268"/>
        <v>45</v>
      </c>
      <c r="BC225" s="336">
        <f t="shared" si="268"/>
        <v>45</v>
      </c>
      <c r="BD225" s="336">
        <f t="shared" si="268"/>
        <v>45</v>
      </c>
      <c r="BE225" s="137"/>
      <c r="BF225" s="336">
        <f t="shared" ref="BF225:BJ225" si="269">$I225</f>
        <v>45</v>
      </c>
      <c r="BG225" s="336">
        <f t="shared" si="269"/>
        <v>45</v>
      </c>
      <c r="BH225" s="336">
        <f t="shared" si="269"/>
        <v>45</v>
      </c>
      <c r="BI225" s="336">
        <f t="shared" si="269"/>
        <v>45</v>
      </c>
      <c r="BJ225" s="336">
        <f t="shared" si="269"/>
        <v>45</v>
      </c>
    </row>
    <row r="226" spans="3:62" x14ac:dyDescent="0.2">
      <c r="I226" s="175"/>
      <c r="AW226" s="137"/>
      <c r="AX226" s="137"/>
      <c r="AY226" s="137"/>
      <c r="AZ226" s="137"/>
      <c r="BA226" s="137"/>
      <c r="BB226" s="137"/>
      <c r="BC226" s="137"/>
      <c r="BD226" s="137"/>
      <c r="BF226" s="137"/>
      <c r="BG226" s="137"/>
      <c r="BH226" s="137"/>
      <c r="BI226" s="137"/>
      <c r="BJ226" s="137"/>
    </row>
    <row r="227" spans="3:62" x14ac:dyDescent="0.2">
      <c r="C227" s="7" t="s">
        <v>184</v>
      </c>
      <c r="I227" s="175"/>
      <c r="AW227" s="137"/>
      <c r="AX227" s="137"/>
      <c r="AY227" s="137"/>
      <c r="AZ227" s="137"/>
      <c r="BA227" s="137"/>
      <c r="BB227" s="137"/>
      <c r="BC227" s="137"/>
      <c r="BD227" s="137"/>
      <c r="BF227" s="137"/>
      <c r="BG227" s="137"/>
      <c r="BH227" s="137"/>
      <c r="BI227" s="137"/>
      <c r="BJ227" s="137"/>
    </row>
    <row r="228" spans="3:62" x14ac:dyDescent="0.2">
      <c r="C228" s="63" t="s">
        <v>185</v>
      </c>
      <c r="I228" s="295">
        <v>45</v>
      </c>
      <c r="AW228" s="336">
        <f t="shared" ref="AW228:BJ229" si="270">$I228</f>
        <v>45</v>
      </c>
      <c r="AX228" s="336">
        <f t="shared" si="270"/>
        <v>45</v>
      </c>
      <c r="AY228" s="336">
        <f t="shared" si="270"/>
        <v>45</v>
      </c>
      <c r="AZ228" s="336">
        <f t="shared" si="270"/>
        <v>45</v>
      </c>
      <c r="BA228" s="336">
        <f t="shared" si="270"/>
        <v>45</v>
      </c>
      <c r="BB228" s="336">
        <f t="shared" si="270"/>
        <v>45</v>
      </c>
      <c r="BC228" s="336">
        <f t="shared" si="270"/>
        <v>45</v>
      </c>
      <c r="BD228" s="336">
        <f t="shared" si="270"/>
        <v>45</v>
      </c>
      <c r="BE228" s="137"/>
      <c r="BF228" s="336">
        <f t="shared" si="270"/>
        <v>45</v>
      </c>
      <c r="BG228" s="336">
        <f t="shared" si="270"/>
        <v>45</v>
      </c>
      <c r="BH228" s="336">
        <f t="shared" si="270"/>
        <v>45</v>
      </c>
      <c r="BI228" s="336">
        <f t="shared" si="270"/>
        <v>45</v>
      </c>
      <c r="BJ228" s="336">
        <f t="shared" si="270"/>
        <v>45</v>
      </c>
    </row>
    <row r="229" spans="3:62" x14ac:dyDescent="0.2">
      <c r="C229" s="63" t="s">
        <v>199</v>
      </c>
      <c r="I229" s="295"/>
      <c r="AW229" s="336">
        <f t="shared" si="270"/>
        <v>0</v>
      </c>
      <c r="AX229" s="336">
        <f t="shared" si="270"/>
        <v>0</v>
      </c>
      <c r="AY229" s="336">
        <f t="shared" si="270"/>
        <v>0</v>
      </c>
      <c r="AZ229" s="336">
        <f t="shared" si="270"/>
        <v>0</v>
      </c>
      <c r="BA229" s="336">
        <f t="shared" si="270"/>
        <v>0</v>
      </c>
      <c r="BB229" s="336">
        <f t="shared" si="270"/>
        <v>0</v>
      </c>
      <c r="BC229" s="336">
        <f t="shared" si="270"/>
        <v>0</v>
      </c>
      <c r="BD229" s="336">
        <f t="shared" si="270"/>
        <v>0</v>
      </c>
      <c r="BE229" s="137"/>
      <c r="BF229" s="336">
        <f t="shared" si="270"/>
        <v>0</v>
      </c>
      <c r="BG229" s="336">
        <f t="shared" si="270"/>
        <v>0</v>
      </c>
      <c r="BH229" s="336">
        <f t="shared" si="270"/>
        <v>0</v>
      </c>
      <c r="BI229" s="336">
        <f t="shared" si="270"/>
        <v>0</v>
      </c>
      <c r="BJ229" s="336">
        <f t="shared" si="270"/>
        <v>0</v>
      </c>
    </row>
    <row r="231" spans="3:62" x14ac:dyDescent="0.2">
      <c r="C231" s="141" t="s">
        <v>66</v>
      </c>
    </row>
    <row r="232" spans="3:62" x14ac:dyDescent="0.2">
      <c r="C232" s="149" t="s">
        <v>217</v>
      </c>
    </row>
    <row r="233" spans="3:62" x14ac:dyDescent="0.2">
      <c r="C233" s="23" t="s">
        <v>224</v>
      </c>
      <c r="AW233" s="24">
        <f t="shared" ref="AW233:BD233" si="271">(AW223/AW219)*AW215</f>
        <v>29620.631868131873</v>
      </c>
      <c r="AX233" s="24">
        <f t="shared" si="271"/>
        <v>115472.39835164836</v>
      </c>
      <c r="AY233" s="24">
        <f t="shared" si="271"/>
        <v>137492.93604619568</v>
      </c>
      <c r="AZ233" s="24">
        <f t="shared" si="271"/>
        <v>241431.7255434783</v>
      </c>
      <c r="BA233" s="24">
        <f t="shared" si="271"/>
        <v>478912.50000000006</v>
      </c>
      <c r="BB233" s="24">
        <f t="shared" si="271"/>
        <v>606171.51098901115</v>
      </c>
      <c r="BC233" s="24">
        <f t="shared" si="271"/>
        <v>710509.25176630437</v>
      </c>
      <c r="BD233" s="24">
        <f t="shared" si="271"/>
        <v>821115.48913043493</v>
      </c>
      <c r="BF233" s="136">
        <f>AZ233</f>
        <v>241431.7255434783</v>
      </c>
      <c r="BG233" s="136">
        <f>BD233</f>
        <v>821115.48913043493</v>
      </c>
      <c r="BH233" s="24">
        <f>(BH223/BH219)*BH215</f>
        <v>1254778.7671232875</v>
      </c>
      <c r="BI233" s="24">
        <f>(BI223/BI219)*BI215</f>
        <v>2595439.7260273974</v>
      </c>
      <c r="BJ233" s="24">
        <f>(BJ223/BJ219)*BJ215</f>
        <v>5020838.1147540994</v>
      </c>
    </row>
    <row r="234" spans="3:62" x14ac:dyDescent="0.2">
      <c r="C234" s="23" t="s">
        <v>219</v>
      </c>
      <c r="AW234" s="24">
        <f t="shared" ref="AW234:BD234" si="272">(AW224/AW219)*AW215</f>
        <v>0</v>
      </c>
      <c r="AX234" s="24">
        <f t="shared" si="272"/>
        <v>0</v>
      </c>
      <c r="AY234" s="24">
        <f t="shared" si="272"/>
        <v>0</v>
      </c>
      <c r="AZ234" s="24">
        <f t="shared" si="272"/>
        <v>0</v>
      </c>
      <c r="BA234" s="24">
        <f t="shared" si="272"/>
        <v>0</v>
      </c>
      <c r="BB234" s="24">
        <f t="shared" si="272"/>
        <v>0</v>
      </c>
      <c r="BC234" s="24">
        <f t="shared" si="272"/>
        <v>0</v>
      </c>
      <c r="BD234" s="24">
        <f t="shared" si="272"/>
        <v>0</v>
      </c>
      <c r="BF234" s="136">
        <f>AZ234</f>
        <v>0</v>
      </c>
      <c r="BG234" s="136">
        <f>BD234</f>
        <v>0</v>
      </c>
      <c r="BH234" s="24">
        <f>(BH224/BH219)*BH215</f>
        <v>0</v>
      </c>
      <c r="BI234" s="24">
        <f>(BI224/BI219)*BI215</f>
        <v>0</v>
      </c>
      <c r="BJ234" s="24">
        <f>(BJ224/BJ219)*BJ215</f>
        <v>0</v>
      </c>
    </row>
    <row r="235" spans="3:62" x14ac:dyDescent="0.2">
      <c r="C235" s="23" t="s">
        <v>176</v>
      </c>
      <c r="AW235" s="24">
        <f t="shared" ref="AW235:BD235" si="273">(AW225/AW219)*AW216</f>
        <v>7796.4946436688324</v>
      </c>
      <c r="AX235" s="24">
        <f t="shared" si="273"/>
        <v>30686.438465379619</v>
      </c>
      <c r="AY235" s="24">
        <f t="shared" si="273"/>
        <v>36092.032830897333</v>
      </c>
      <c r="AZ235" s="24">
        <f t="shared" si="273"/>
        <v>62810.634597332013</v>
      </c>
      <c r="BA235" s="24">
        <f t="shared" si="273"/>
        <v>125797.03557954545</v>
      </c>
      <c r="BB235" s="24">
        <f t="shared" si="273"/>
        <v>158272.36909210793</v>
      </c>
      <c r="BC235" s="24">
        <f t="shared" si="273"/>
        <v>185329.70981243183</v>
      </c>
      <c r="BD235" s="24">
        <f t="shared" si="273"/>
        <v>214021.4215909091</v>
      </c>
      <c r="BF235" s="136">
        <f>AZ235</f>
        <v>62810.634597332013</v>
      </c>
      <c r="BG235" s="136">
        <f>BD235</f>
        <v>214021.4215909091</v>
      </c>
      <c r="BH235" s="24">
        <f>(BH225/BH219)*BH216</f>
        <v>328361.63312577829</v>
      </c>
      <c r="BI235" s="24">
        <f>(BI225/BI219)*BI216</f>
        <v>680177.6686176837</v>
      </c>
      <c r="BJ235" s="24">
        <f>(BJ225/BJ219)*BJ216</f>
        <v>1319214.0084947839</v>
      </c>
    </row>
    <row r="236" spans="3:62" x14ac:dyDescent="0.2">
      <c r="C236" s="23"/>
      <c r="AW236" s="24"/>
      <c r="AX236" s="24"/>
      <c r="AY236" s="24"/>
      <c r="AZ236" s="24"/>
      <c r="BA236" s="24"/>
      <c r="BB236" s="24"/>
      <c r="BC236" s="24"/>
      <c r="BD236" s="24"/>
      <c r="BF236" s="136"/>
      <c r="BG236" s="136"/>
      <c r="BH236" s="24"/>
      <c r="BI236" s="24"/>
      <c r="BJ236" s="24"/>
    </row>
    <row r="237" spans="3:62" x14ac:dyDescent="0.2">
      <c r="C237" s="150" t="s">
        <v>184</v>
      </c>
      <c r="AW237" s="24"/>
      <c r="AX237" s="24"/>
      <c r="AY237" s="24"/>
      <c r="AZ237" s="24"/>
      <c r="BA237" s="24"/>
      <c r="BB237" s="24"/>
      <c r="BC237" s="24"/>
      <c r="BD237" s="24"/>
      <c r="BF237" s="136"/>
      <c r="BG237" s="136"/>
      <c r="BH237" s="24"/>
      <c r="BI237" s="24"/>
      <c r="BJ237" s="24"/>
    </row>
    <row r="238" spans="3:62" x14ac:dyDescent="0.2">
      <c r="C238" s="63" t="s">
        <v>185</v>
      </c>
      <c r="AW238" s="24">
        <f t="shared" ref="AW238:BD238" si="274">(AW228/AW219)*AW217</f>
        <v>207570.27521484927</v>
      </c>
      <c r="AX238" s="24">
        <f t="shared" si="274"/>
        <v>207347.06742638774</v>
      </c>
      <c r="AY238" s="24">
        <f t="shared" si="274"/>
        <v>197569.10911353296</v>
      </c>
      <c r="AZ238" s="24">
        <f t="shared" si="274"/>
        <v>365940.42481013102</v>
      </c>
      <c r="BA238" s="24">
        <f t="shared" si="274"/>
        <v>527561.233974359</v>
      </c>
      <c r="BB238" s="24">
        <f t="shared" si="274"/>
        <v>517640.89073330519</v>
      </c>
      <c r="BC238" s="24">
        <f t="shared" si="274"/>
        <v>518115.32019748114</v>
      </c>
      <c r="BD238" s="24">
        <f t="shared" si="274"/>
        <v>448105.9584030101</v>
      </c>
      <c r="BF238" s="136">
        <f>AZ238</f>
        <v>365940.42481013102</v>
      </c>
      <c r="BG238" s="136">
        <f>BD238</f>
        <v>448105.9584030101</v>
      </c>
      <c r="BH238" s="24">
        <f>(BH228/BH219)*BH217</f>
        <v>443346.65753424657</v>
      </c>
      <c r="BI238" s="24">
        <f>(BI228/BI219)*BI217</f>
        <v>587030.9316780821</v>
      </c>
      <c r="BJ238" s="24">
        <f>(BJ228/BJ219)*BJ217</f>
        <v>824300.18721823778</v>
      </c>
    </row>
    <row r="239" spans="3:62" x14ac:dyDescent="0.2">
      <c r="C239" s="63" t="s">
        <v>199</v>
      </c>
      <c r="AW239" s="24">
        <f t="shared" ref="AW239:BD239" si="275">(AW229/AW219)*AW217</f>
        <v>0</v>
      </c>
      <c r="AX239" s="24">
        <f t="shared" si="275"/>
        <v>0</v>
      </c>
      <c r="AY239" s="24">
        <f t="shared" si="275"/>
        <v>0</v>
      </c>
      <c r="AZ239" s="24">
        <f t="shared" si="275"/>
        <v>0</v>
      </c>
      <c r="BA239" s="24">
        <f t="shared" si="275"/>
        <v>0</v>
      </c>
      <c r="BB239" s="24">
        <f t="shared" si="275"/>
        <v>0</v>
      </c>
      <c r="BC239" s="24">
        <f t="shared" si="275"/>
        <v>0</v>
      </c>
      <c r="BD239" s="24">
        <f t="shared" si="275"/>
        <v>0</v>
      </c>
      <c r="BF239" s="136">
        <f>AZ239</f>
        <v>0</v>
      </c>
      <c r="BG239" s="136">
        <f>BD239</f>
        <v>0</v>
      </c>
      <c r="BH239" s="24">
        <f>(BH229/BH219)*BH217</f>
        <v>0</v>
      </c>
      <c r="BI239" s="24">
        <f>(BI229/BI219)*BI217</f>
        <v>0</v>
      </c>
      <c r="BJ239" s="24">
        <f>(BJ229/BJ219)*BJ217</f>
        <v>0</v>
      </c>
    </row>
    <row r="240" spans="3:62" x14ac:dyDescent="0.2">
      <c r="AW240" s="24"/>
    </row>
    <row r="241" spans="3:62" x14ac:dyDescent="0.2">
      <c r="C241" s="22" t="s">
        <v>226</v>
      </c>
      <c r="AW241" s="60">
        <f t="shared" ref="AW241:BD241" si="276">SUM(AW233:AW235)-SUM(AW238:AW239)</f>
        <v>-170153.14870304856</v>
      </c>
      <c r="AX241" s="60">
        <f t="shared" si="276"/>
        <v>-61188.230609359773</v>
      </c>
      <c r="AY241" s="60">
        <f t="shared" si="276"/>
        <v>-23984.14023643994</v>
      </c>
      <c r="AZ241" s="60">
        <f t="shared" si="276"/>
        <v>-61698.064669320709</v>
      </c>
      <c r="BA241" s="60">
        <f t="shared" si="276"/>
        <v>77148.301605186542</v>
      </c>
      <c r="BB241" s="60">
        <f t="shared" si="276"/>
        <v>246802.98934781383</v>
      </c>
      <c r="BC241" s="60">
        <f t="shared" si="276"/>
        <v>377723.64138125506</v>
      </c>
      <c r="BD241" s="60">
        <f t="shared" si="276"/>
        <v>587030.95231833402</v>
      </c>
      <c r="BF241" s="60">
        <f>SUM(BF233:BF235)-SUM(BF238:BF239)</f>
        <v>-61698.064669320709</v>
      </c>
      <c r="BG241" s="60">
        <f>SUM(BG233:BG235)-SUM(BG238:BG239)</f>
        <v>587030.95231833402</v>
      </c>
      <c r="BH241" s="60">
        <f>SUM(BH233:BH235)-SUM(BH238:BH239)</f>
        <v>1139793.7427148193</v>
      </c>
      <c r="BI241" s="60">
        <f>SUM(BI233:BI235)-SUM(BI238:BI239)</f>
        <v>2688586.462966999</v>
      </c>
      <c r="BJ241" s="60">
        <f>SUM(BJ233:BJ235)-SUM(BJ238:BJ239)</f>
        <v>5515751.9360306459</v>
      </c>
    </row>
    <row r="242" spans="3:62" x14ac:dyDescent="0.2">
      <c r="C242" s="151" t="s">
        <v>227</v>
      </c>
      <c r="AX242" s="86">
        <f t="shared" ref="AX242:BD242" si="277">AX241-AW241</f>
        <v>108964.91809368879</v>
      </c>
      <c r="AY242" s="86">
        <f t="shared" si="277"/>
        <v>37204.090372919833</v>
      </c>
      <c r="AZ242" s="86">
        <f t="shared" si="277"/>
        <v>-37713.924432880769</v>
      </c>
      <c r="BA242" s="86">
        <f t="shared" si="277"/>
        <v>138846.36627450725</v>
      </c>
      <c r="BB242" s="86">
        <f t="shared" si="277"/>
        <v>169654.68774262728</v>
      </c>
      <c r="BC242" s="86">
        <f t="shared" si="277"/>
        <v>130920.65203344123</v>
      </c>
      <c r="BD242" s="86">
        <f t="shared" si="277"/>
        <v>209307.31093707896</v>
      </c>
      <c r="BG242" s="86">
        <f>BG241-BF241</f>
        <v>648729.01698765473</v>
      </c>
      <c r="BH242" s="86">
        <f>BH241-BG241</f>
        <v>552762.79039648524</v>
      </c>
      <c r="BI242" s="86">
        <f>BI241-BH241</f>
        <v>1548792.7202521798</v>
      </c>
      <c r="BJ242" s="86">
        <f>BJ241-BI241</f>
        <v>2827165.4730636468</v>
      </c>
    </row>
    <row r="244" spans="3:62" x14ac:dyDescent="0.2">
      <c r="C244" s="151" t="s">
        <v>228</v>
      </c>
      <c r="AW244" s="152">
        <f t="shared" ref="AW244:BD244" si="278">IFERROR(AW233/AW215,"na")</f>
        <v>0.49450549450549453</v>
      </c>
      <c r="AX244" s="152">
        <f t="shared" si="278"/>
        <v>0.49450549450549453</v>
      </c>
      <c r="AY244" s="152">
        <f t="shared" si="278"/>
        <v>0.48913043478260876</v>
      </c>
      <c r="AZ244" s="152">
        <f t="shared" si="278"/>
        <v>0.4891304347826087</v>
      </c>
      <c r="BA244" s="152">
        <f t="shared" si="278"/>
        <v>0.5</v>
      </c>
      <c r="BB244" s="152">
        <f t="shared" si="278"/>
        <v>0.49450549450549453</v>
      </c>
      <c r="BC244" s="152">
        <f t="shared" si="278"/>
        <v>0.48913043478260865</v>
      </c>
      <c r="BD244" s="152">
        <f t="shared" si="278"/>
        <v>0.4891304347826087</v>
      </c>
      <c r="BF244" s="152">
        <f>IFERROR(BF233/BF215,"na")</f>
        <v>0.22603834066424933</v>
      </c>
      <c r="BG244" s="152">
        <f>IFERROR(BG233/BG215,"na")</f>
        <v>0.15449137141029204</v>
      </c>
      <c r="BH244" s="152">
        <f>IFERROR(BH233/BH215,"na")</f>
        <v>0.12328767123287671</v>
      </c>
      <c r="BI244" s="152">
        <f>IFERROR(BI233/BI215,"na")</f>
        <v>0.12328767123287671</v>
      </c>
      <c r="BJ244" s="152">
        <f>IFERROR(BJ233/BJ215,"na")</f>
        <v>0.12295081967213115</v>
      </c>
    </row>
    <row r="245" spans="3:62" x14ac:dyDescent="0.2">
      <c r="C245" s="151" t="s">
        <v>371</v>
      </c>
      <c r="AW245" s="152">
        <f t="shared" ref="AW245:BD245" si="279">IFERROR(AW235/AW216,"na")</f>
        <v>0.49450549450549453</v>
      </c>
      <c r="AX245" s="152">
        <f t="shared" si="279"/>
        <v>0.49450549450549453</v>
      </c>
      <c r="AY245" s="152">
        <f t="shared" si="279"/>
        <v>0.48913043478260865</v>
      </c>
      <c r="AZ245" s="152">
        <f t="shared" si="279"/>
        <v>0.4891304347826087</v>
      </c>
      <c r="BA245" s="152">
        <f t="shared" si="279"/>
        <v>0.5</v>
      </c>
      <c r="BB245" s="152">
        <f t="shared" si="279"/>
        <v>0.49450549450549453</v>
      </c>
      <c r="BC245" s="152">
        <f t="shared" si="279"/>
        <v>0.48913043478260876</v>
      </c>
      <c r="BD245" s="152">
        <f t="shared" si="279"/>
        <v>0.4891304347826087</v>
      </c>
      <c r="BF245" s="152">
        <f>IFERROR(BF235/BF216,"na")</f>
        <v>0.22430602970998975</v>
      </c>
      <c r="BG245" s="152">
        <f>IFERROR(BG235/BG216,"na")</f>
        <v>0.15418220252222894</v>
      </c>
      <c r="BH245" s="152">
        <f>IFERROR(BH235/BH216,"na")</f>
        <v>0.12328767123287669</v>
      </c>
      <c r="BI245" s="152">
        <f>IFERROR(BI235/BI216,"na")</f>
        <v>0.12328767123287672</v>
      </c>
      <c r="BJ245" s="152">
        <f>IFERROR(BJ235/BJ216,"na")</f>
        <v>0.12295081967213115</v>
      </c>
    </row>
    <row r="246" spans="3:62" x14ac:dyDescent="0.2">
      <c r="C246" s="151" t="s">
        <v>229</v>
      </c>
      <c r="AW246" s="152">
        <f t="shared" ref="AW246:BD246" si="280">IFERROR(AW238/AW217,"na")</f>
        <v>0.49450549450549453</v>
      </c>
      <c r="AX246" s="152">
        <f t="shared" si="280"/>
        <v>0.49450549450549453</v>
      </c>
      <c r="AY246" s="152">
        <f t="shared" si="280"/>
        <v>0.48913043478260876</v>
      </c>
      <c r="AZ246" s="152">
        <f t="shared" si="280"/>
        <v>0.4891304347826087</v>
      </c>
      <c r="BA246" s="152">
        <f t="shared" si="280"/>
        <v>0.5</v>
      </c>
      <c r="BB246" s="152">
        <f t="shared" si="280"/>
        <v>0.49450549450549453</v>
      </c>
      <c r="BC246" s="152">
        <f t="shared" si="280"/>
        <v>0.4891304347826087</v>
      </c>
      <c r="BD246" s="152">
        <f t="shared" si="280"/>
        <v>0.4891304347826087</v>
      </c>
      <c r="BF246" s="152">
        <f>IFERROR(BF238/BF217,"na")</f>
        <v>0.18378631492113653</v>
      </c>
      <c r="BG246" s="152">
        <f>IFERROR(BG238/BG217,"na")</f>
        <v>0.10990280728236543</v>
      </c>
      <c r="BH246" s="152">
        <f>IFERROR(BH238/BH217,"na")</f>
        <v>0.12328767123287671</v>
      </c>
      <c r="BI246" s="152">
        <f>IFERROR(BI238/BI217,"na")</f>
        <v>0.12328767123287669</v>
      </c>
      <c r="BJ246" s="152">
        <f>IFERROR(BJ238/BJ217,"na")</f>
        <v>0.12295081967213115</v>
      </c>
    </row>
    <row r="248" spans="3:62" x14ac:dyDescent="0.2">
      <c r="C248" s="22" t="s">
        <v>67</v>
      </c>
    </row>
    <row r="249" spans="3:62" x14ac:dyDescent="0.2">
      <c r="C249" s="23" t="s">
        <v>125</v>
      </c>
      <c r="L249" s="169">
        <f>IF('Key Assumptions + Summary'!$D108='Sales, COGS, Sales Team'!L$13,'Key Assumptions + Summary'!$D$105,0)</f>
        <v>0</v>
      </c>
      <c r="M249" s="169">
        <f>IF('Key Assumptions + Summary'!$D108='Sales, COGS, Sales Team'!M$13,'Key Assumptions + Summary'!$D$105,0)</f>
        <v>0</v>
      </c>
      <c r="N249" s="169">
        <f>IF('Key Assumptions + Summary'!$D108='Sales, COGS, Sales Team'!N$13,'Key Assumptions + Summary'!$D$105,0)</f>
        <v>0</v>
      </c>
      <c r="O249" s="169">
        <f>IF('Key Assumptions + Summary'!$D108='Sales, COGS, Sales Team'!O$13,'Key Assumptions + Summary'!$D$105,0)</f>
        <v>0</v>
      </c>
      <c r="P249" s="169">
        <f>IF('Key Assumptions + Summary'!$D108='Sales, COGS, Sales Team'!P$13,'Key Assumptions + Summary'!$D$105,0)</f>
        <v>0</v>
      </c>
      <c r="Q249" s="169">
        <f>IF('Key Assumptions + Summary'!$D108='Sales, COGS, Sales Team'!Q$13,'Key Assumptions + Summary'!$D$105,0)</f>
        <v>0</v>
      </c>
      <c r="R249" s="169">
        <f>IF('Key Assumptions + Summary'!$D108='Sales, COGS, Sales Team'!R$13,'Key Assumptions + Summary'!$D$105,0)</f>
        <v>0</v>
      </c>
      <c r="S249" s="169">
        <f>IF('Key Assumptions + Summary'!$D108='Sales, COGS, Sales Team'!S$13,'Key Assumptions + Summary'!$D$105,0)</f>
        <v>0</v>
      </c>
      <c r="T249" s="169">
        <f>IF('Key Assumptions + Summary'!$D108='Sales, COGS, Sales Team'!T$13,'Key Assumptions + Summary'!$D$105,0)</f>
        <v>0</v>
      </c>
      <c r="U249" s="169">
        <f>IF('Key Assumptions + Summary'!$D108='Sales, COGS, Sales Team'!U$13,'Key Assumptions + Summary'!$D$105,0)</f>
        <v>655000</v>
      </c>
      <c r="V249" s="169">
        <f>IF('Key Assumptions + Summary'!$D108='Sales, COGS, Sales Team'!V$13,'Key Assumptions + Summary'!$D$105,0)</f>
        <v>0</v>
      </c>
      <c r="W249" s="169">
        <f>IF('Key Assumptions + Summary'!$D108='Sales, COGS, Sales Team'!W$13,'Key Assumptions + Summary'!$D$105,0)</f>
        <v>0</v>
      </c>
      <c r="X249" s="169">
        <f>IF('Key Assumptions + Summary'!$D108='Sales, COGS, Sales Team'!X$13,'Key Assumptions + Summary'!$D$105,0)</f>
        <v>0</v>
      </c>
      <c r="Y249" s="169">
        <f>IF('Key Assumptions + Summary'!$D108='Sales, COGS, Sales Team'!Y$13,'Key Assumptions + Summary'!$D$105,0)</f>
        <v>0</v>
      </c>
      <c r="Z249" s="169">
        <f>IF('Key Assumptions + Summary'!$D108='Sales, COGS, Sales Team'!Z$13,'Key Assumptions + Summary'!$D$105,0)</f>
        <v>0</v>
      </c>
      <c r="AA249" s="169">
        <f>IF('Key Assumptions + Summary'!$D108='Sales, COGS, Sales Team'!AA$13,'Key Assumptions + Summary'!$D$105,0)</f>
        <v>0</v>
      </c>
      <c r="AB249" s="169">
        <f>IF('Key Assumptions + Summary'!$D108='Sales, COGS, Sales Team'!AB$13,'Key Assumptions + Summary'!$D$105,0)</f>
        <v>0</v>
      </c>
      <c r="AC249" s="169">
        <f>IF('Key Assumptions + Summary'!$D108='Sales, COGS, Sales Team'!AC$13,'Key Assumptions + Summary'!$D$105,0)</f>
        <v>0</v>
      </c>
      <c r="AD249" s="169">
        <f>IF('Key Assumptions + Summary'!$D108='Sales, COGS, Sales Team'!AD$13,'Key Assumptions + Summary'!$D$105,0)</f>
        <v>0</v>
      </c>
      <c r="AE249" s="169">
        <f>IF('Key Assumptions + Summary'!$D108='Sales, COGS, Sales Team'!AE$13,'Key Assumptions + Summary'!$D$105,0)</f>
        <v>0</v>
      </c>
      <c r="AF249" s="169">
        <f>IF('Key Assumptions + Summary'!$D108='Sales, COGS, Sales Team'!AF$13,'Key Assumptions + Summary'!$D$105,0)</f>
        <v>0</v>
      </c>
      <c r="AG249" s="169">
        <f>IF('Key Assumptions + Summary'!$D108='Sales, COGS, Sales Team'!AG$13,'Key Assumptions + Summary'!$D$105,0)</f>
        <v>0</v>
      </c>
      <c r="AH249" s="169">
        <f>IF('Key Assumptions + Summary'!$D108='Sales, COGS, Sales Team'!AH$13,'Key Assumptions + Summary'!$D$105,0)</f>
        <v>0</v>
      </c>
      <c r="AI249" s="169">
        <f>IF('Key Assumptions + Summary'!$D108='Sales, COGS, Sales Team'!AI$13,'Key Assumptions + Summary'!$D$105,0)</f>
        <v>0</v>
      </c>
      <c r="AJ249" s="169">
        <f>IF('Key Assumptions + Summary'!$D108='Sales, COGS, Sales Team'!AJ$13,'Key Assumptions + Summary'!$D$105,0)</f>
        <v>0</v>
      </c>
      <c r="AK249" s="169">
        <f>IF('Key Assumptions + Summary'!$D108='Sales, COGS, Sales Team'!AK$13,'Key Assumptions + Summary'!$D$105,0)</f>
        <v>0</v>
      </c>
      <c r="AL249" s="169">
        <f>IF('Key Assumptions + Summary'!$D108='Sales, COGS, Sales Team'!AL$13,'Key Assumptions + Summary'!$D$105,0)</f>
        <v>0</v>
      </c>
      <c r="AM249" s="169">
        <f>IF('Key Assumptions + Summary'!$D108='Sales, COGS, Sales Team'!AM$13,'Key Assumptions + Summary'!$D$105,0)</f>
        <v>0</v>
      </c>
      <c r="AN249" s="169">
        <f>IF('Key Assumptions + Summary'!$D108='Sales, COGS, Sales Team'!AN$13,'Key Assumptions + Summary'!$D$105,0)</f>
        <v>0</v>
      </c>
      <c r="AO249" s="169">
        <f>IF('Key Assumptions + Summary'!$D108='Sales, COGS, Sales Team'!AO$13,'Key Assumptions + Summary'!$D$105,0)</f>
        <v>0</v>
      </c>
      <c r="AP249" s="169">
        <f>IF('Key Assumptions + Summary'!$D108='Sales, COGS, Sales Team'!AP$13,'Key Assumptions + Summary'!$D$105,0)</f>
        <v>0</v>
      </c>
      <c r="AQ249" s="169">
        <f>IF('Key Assumptions + Summary'!$D108='Sales, COGS, Sales Team'!AQ$13,'Key Assumptions + Summary'!$D$105,0)</f>
        <v>0</v>
      </c>
      <c r="AR249" s="169">
        <f>IF('Key Assumptions + Summary'!$D108='Sales, COGS, Sales Team'!AR$13,'Key Assumptions + Summary'!$D$105,0)</f>
        <v>0</v>
      </c>
      <c r="AS249" s="169">
        <f>IF('Key Assumptions + Summary'!$D108='Sales, COGS, Sales Team'!AS$13,'Key Assumptions + Summary'!$D$105,0)</f>
        <v>0</v>
      </c>
      <c r="AT249" s="169">
        <f>IF('Key Assumptions + Summary'!$D108='Sales, COGS, Sales Team'!AT$13,'Key Assumptions + Summary'!$D$105,0)</f>
        <v>0</v>
      </c>
      <c r="AU249" s="169">
        <f>IF('Key Assumptions + Summary'!$D108='Sales, COGS, Sales Team'!AU$13,'Key Assumptions + Summary'!$D$105,0)</f>
        <v>0</v>
      </c>
      <c r="AW249" s="24">
        <f>SUMIFS($L249:$AU249,$L$11:$AU$11,"&gt;"&amp;AV$11,$L$11:$AU$11,"&lt;="&amp;AW$11)</f>
        <v>0</v>
      </c>
      <c r="AX249" s="24">
        <f t="shared" ref="AX249:BD249" si="281">SUMIFS($L249:$AU249,$L$11:$AU$11,"&gt;"&amp;AW$11,$L$11:$AU$11,"&lt;="&amp;AX$11)</f>
        <v>0</v>
      </c>
      <c r="AY249" s="24">
        <f t="shared" si="281"/>
        <v>0</v>
      </c>
      <c r="AZ249" s="24">
        <f t="shared" si="281"/>
        <v>0</v>
      </c>
      <c r="BA249" s="24">
        <f t="shared" si="281"/>
        <v>0</v>
      </c>
      <c r="BB249" s="24">
        <f t="shared" si="281"/>
        <v>0</v>
      </c>
      <c r="BC249" s="24">
        <f t="shared" si="281"/>
        <v>0</v>
      </c>
      <c r="BD249" s="24">
        <f t="shared" si="281"/>
        <v>0</v>
      </c>
      <c r="BF249" s="24">
        <f t="shared" ref="BF249:BG249" si="282">SUMIFS($L249:$AU249,$L$11:$AU$11,"&gt;"&amp;BE$11,$L$11:$AU$11,"&lt;="&amp;BF$11)</f>
        <v>0</v>
      </c>
      <c r="BG249" s="24">
        <f t="shared" si="282"/>
        <v>0</v>
      </c>
      <c r="BH249" s="24"/>
      <c r="BI249" s="24"/>
      <c r="BJ249" s="24"/>
    </row>
    <row r="250" spans="3:62" x14ac:dyDescent="0.2">
      <c r="C250" s="23" t="s">
        <v>126</v>
      </c>
      <c r="L250" s="169">
        <f>IF('Key Assumptions + Summary'!$E108='Sales, COGS, Sales Team'!L$13,'Key Assumptions + Summary'!$E$105,0)</f>
        <v>0</v>
      </c>
      <c r="M250" s="169">
        <f>IF('Key Assumptions + Summary'!$E108='Sales, COGS, Sales Team'!M$13,'Key Assumptions + Summary'!$E$105,0)</f>
        <v>0</v>
      </c>
      <c r="N250" s="169">
        <f>IF('Key Assumptions + Summary'!$E108='Sales, COGS, Sales Team'!N$13,'Key Assumptions + Summary'!$E$105,0)</f>
        <v>0</v>
      </c>
      <c r="O250" s="169">
        <f>IF('Key Assumptions + Summary'!$E108='Sales, COGS, Sales Team'!O$13,'Key Assumptions + Summary'!$E$105,0)</f>
        <v>0</v>
      </c>
      <c r="P250" s="169">
        <f>IF('Key Assumptions + Summary'!$E108='Sales, COGS, Sales Team'!P$13,'Key Assumptions + Summary'!$E$105,0)</f>
        <v>0</v>
      </c>
      <c r="Q250" s="169">
        <f>IF('Key Assumptions + Summary'!$E108='Sales, COGS, Sales Team'!Q$13,'Key Assumptions + Summary'!$E$105,0)</f>
        <v>0</v>
      </c>
      <c r="R250" s="169">
        <f>IF('Key Assumptions + Summary'!$E108='Sales, COGS, Sales Team'!R$13,'Key Assumptions + Summary'!$E$105,0)</f>
        <v>0</v>
      </c>
      <c r="S250" s="169">
        <f>IF('Key Assumptions + Summary'!$E108='Sales, COGS, Sales Team'!S$13,'Key Assumptions + Summary'!$E$105,0)</f>
        <v>0</v>
      </c>
      <c r="T250" s="169">
        <f>IF('Key Assumptions + Summary'!$E108='Sales, COGS, Sales Team'!T$13,'Key Assumptions + Summary'!$E$105,0)</f>
        <v>0</v>
      </c>
      <c r="U250" s="169">
        <f>IF('Key Assumptions + Summary'!$E108='Sales, COGS, Sales Team'!U$13,'Key Assumptions + Summary'!$E$105,0)</f>
        <v>0</v>
      </c>
      <c r="V250" s="169">
        <f>IF('Key Assumptions + Summary'!$E108='Sales, COGS, Sales Team'!V$13,'Key Assumptions + Summary'!$E$105,0)</f>
        <v>0</v>
      </c>
      <c r="W250" s="169">
        <f>IF('Key Assumptions + Summary'!$E108='Sales, COGS, Sales Team'!W$13,'Key Assumptions + Summary'!$E$105,0)</f>
        <v>0</v>
      </c>
      <c r="X250" s="169">
        <f>IF('Key Assumptions + Summary'!$E108='Sales, COGS, Sales Team'!X$13,'Key Assumptions + Summary'!$E$105,0)</f>
        <v>1630000</v>
      </c>
      <c r="Y250" s="169">
        <f>IF('Key Assumptions + Summary'!$E108='Sales, COGS, Sales Team'!Y$13,'Key Assumptions + Summary'!$E$105,0)</f>
        <v>0</v>
      </c>
      <c r="Z250" s="169">
        <f>IF('Key Assumptions + Summary'!$E108='Sales, COGS, Sales Team'!Z$13,'Key Assumptions + Summary'!$E$105,0)</f>
        <v>0</v>
      </c>
      <c r="AA250" s="169">
        <f>IF('Key Assumptions + Summary'!$E108='Sales, COGS, Sales Team'!AA$13,'Key Assumptions + Summary'!$E$105,0)</f>
        <v>0</v>
      </c>
      <c r="AB250" s="169">
        <f>IF('Key Assumptions + Summary'!$E108='Sales, COGS, Sales Team'!AB$13,'Key Assumptions + Summary'!$E$105,0)</f>
        <v>0</v>
      </c>
      <c r="AC250" s="169">
        <f>IF('Key Assumptions + Summary'!$E108='Sales, COGS, Sales Team'!AC$13,'Key Assumptions + Summary'!$E$105,0)</f>
        <v>0</v>
      </c>
      <c r="AD250" s="169">
        <f>IF('Key Assumptions + Summary'!$E108='Sales, COGS, Sales Team'!AD$13,'Key Assumptions + Summary'!$E$105,0)</f>
        <v>0</v>
      </c>
      <c r="AE250" s="169">
        <f>IF('Key Assumptions + Summary'!$E108='Sales, COGS, Sales Team'!AE$13,'Key Assumptions + Summary'!$E$105,0)</f>
        <v>0</v>
      </c>
      <c r="AF250" s="169">
        <f>IF('Key Assumptions + Summary'!$E108='Sales, COGS, Sales Team'!AF$13,'Key Assumptions + Summary'!$E$105,0)</f>
        <v>0</v>
      </c>
      <c r="AG250" s="169">
        <f>IF('Key Assumptions + Summary'!$E108='Sales, COGS, Sales Team'!AG$13,'Key Assumptions + Summary'!$E$105,0)</f>
        <v>0</v>
      </c>
      <c r="AH250" s="169">
        <f>IF('Key Assumptions + Summary'!$E108='Sales, COGS, Sales Team'!AH$13,'Key Assumptions + Summary'!$E$105,0)</f>
        <v>0</v>
      </c>
      <c r="AI250" s="169">
        <f>IF('Key Assumptions + Summary'!$E108='Sales, COGS, Sales Team'!AI$13,'Key Assumptions + Summary'!$E$105,0)</f>
        <v>0</v>
      </c>
      <c r="AJ250" s="169">
        <f>IF('Key Assumptions + Summary'!$E108='Sales, COGS, Sales Team'!AJ$13,'Key Assumptions + Summary'!$E$105,0)</f>
        <v>0</v>
      </c>
      <c r="AK250" s="169">
        <f>IF('Key Assumptions + Summary'!$E108='Sales, COGS, Sales Team'!AK$13,'Key Assumptions + Summary'!$E$105,0)</f>
        <v>0</v>
      </c>
      <c r="AL250" s="169">
        <f>IF('Key Assumptions + Summary'!$E108='Sales, COGS, Sales Team'!AL$13,'Key Assumptions + Summary'!$E$105,0)</f>
        <v>0</v>
      </c>
      <c r="AM250" s="169">
        <f>IF('Key Assumptions + Summary'!$E108='Sales, COGS, Sales Team'!AM$13,'Key Assumptions + Summary'!$E$105,0)</f>
        <v>0</v>
      </c>
      <c r="AN250" s="169">
        <f>IF('Key Assumptions + Summary'!$E108='Sales, COGS, Sales Team'!AN$13,'Key Assumptions + Summary'!$E$105,0)</f>
        <v>0</v>
      </c>
      <c r="AO250" s="169">
        <f>IF('Key Assumptions + Summary'!$E108='Sales, COGS, Sales Team'!AO$13,'Key Assumptions + Summary'!$E$105,0)</f>
        <v>0</v>
      </c>
      <c r="AP250" s="169">
        <f>IF('Key Assumptions + Summary'!$E108='Sales, COGS, Sales Team'!AP$13,'Key Assumptions + Summary'!$E$105,0)</f>
        <v>0</v>
      </c>
      <c r="AQ250" s="169">
        <f>IF('Key Assumptions + Summary'!$E108='Sales, COGS, Sales Team'!AQ$13,'Key Assumptions + Summary'!$E$105,0)</f>
        <v>0</v>
      </c>
      <c r="AR250" s="169">
        <f>IF('Key Assumptions + Summary'!$E108='Sales, COGS, Sales Team'!AR$13,'Key Assumptions + Summary'!$E$105,0)</f>
        <v>0</v>
      </c>
      <c r="AS250" s="169">
        <f>IF('Key Assumptions + Summary'!$E108='Sales, COGS, Sales Team'!AS$13,'Key Assumptions + Summary'!$E$105,0)</f>
        <v>0</v>
      </c>
      <c r="AT250" s="169">
        <f>IF('Key Assumptions + Summary'!$E108='Sales, COGS, Sales Team'!AT$13,'Key Assumptions + Summary'!$E$105,0)</f>
        <v>0</v>
      </c>
      <c r="AU250" s="169">
        <f>IF('Key Assumptions + Summary'!$E108='Sales, COGS, Sales Team'!AU$13,'Key Assumptions + Summary'!$E$105,0)</f>
        <v>0</v>
      </c>
      <c r="AW250" s="24">
        <f>SUMIFS($L250:$AU250,$L$11:$AU$11,"&gt;"&amp;AV$11,$L$11:$AU$11,"&lt;="&amp;AW$11)</f>
        <v>1630000</v>
      </c>
      <c r="AX250" s="24">
        <f t="shared" ref="AX250:BD250" si="283">SUMIFS($L250:$AU250,$L$11:$AU$11,"&gt;"&amp;AW$11,$L$11:$AU$11,"&lt;="&amp;AX$11)</f>
        <v>0</v>
      </c>
      <c r="AY250" s="24">
        <f t="shared" si="283"/>
        <v>0</v>
      </c>
      <c r="AZ250" s="24">
        <f t="shared" si="283"/>
        <v>0</v>
      </c>
      <c r="BA250" s="24">
        <f t="shared" si="283"/>
        <v>0</v>
      </c>
      <c r="BB250" s="24">
        <f t="shared" si="283"/>
        <v>0</v>
      </c>
      <c r="BC250" s="24">
        <f t="shared" si="283"/>
        <v>0</v>
      </c>
      <c r="BD250" s="24">
        <f t="shared" si="283"/>
        <v>0</v>
      </c>
      <c r="BF250" s="24">
        <f t="shared" ref="BF250:BG250" si="284">SUMIFS($L250:$AU250,$L$11:$AU$11,"&gt;"&amp;BE$11,$L$11:$AU$11,"&lt;="&amp;BF$11)</f>
        <v>1630000</v>
      </c>
      <c r="BG250" s="24">
        <f t="shared" si="284"/>
        <v>0</v>
      </c>
      <c r="BH250" s="24"/>
      <c r="BI250" s="24"/>
      <c r="BJ250" s="24"/>
    </row>
    <row r="251" spans="3:62" x14ac:dyDescent="0.2">
      <c r="C251" s="23" t="s">
        <v>127</v>
      </c>
      <c r="L251" s="169">
        <f>IF('Key Assumptions + Summary'!$G108='Sales, COGS, Sales Team'!L$13,'Key Assumptions + Summary'!$G$105,0)</f>
        <v>0</v>
      </c>
      <c r="M251" s="169">
        <f>IF('Key Assumptions + Summary'!$G108='Sales, COGS, Sales Team'!M$13,'Key Assumptions + Summary'!$G$105,0)</f>
        <v>0</v>
      </c>
      <c r="N251" s="169">
        <f>IF('Key Assumptions + Summary'!$G108='Sales, COGS, Sales Team'!N$13,'Key Assumptions + Summary'!$G$105,0)</f>
        <v>0</v>
      </c>
      <c r="O251" s="169">
        <f>IF('Key Assumptions + Summary'!$G108='Sales, COGS, Sales Team'!O$13,'Key Assumptions + Summary'!$G$105,0)</f>
        <v>0</v>
      </c>
      <c r="P251" s="169">
        <f>IF('Key Assumptions + Summary'!$G108='Sales, COGS, Sales Team'!P$13,'Key Assumptions + Summary'!$G$105,0)</f>
        <v>0</v>
      </c>
      <c r="Q251" s="169">
        <f>IF('Key Assumptions + Summary'!$G108='Sales, COGS, Sales Team'!Q$13,'Key Assumptions + Summary'!$G$105,0)</f>
        <v>0</v>
      </c>
      <c r="R251" s="169">
        <f>IF('Key Assumptions + Summary'!$G108='Sales, COGS, Sales Team'!R$13,'Key Assumptions + Summary'!$G$105,0)</f>
        <v>0</v>
      </c>
      <c r="S251" s="169">
        <f>IF('Key Assumptions + Summary'!$G108='Sales, COGS, Sales Team'!S$13,'Key Assumptions + Summary'!$G$105,0)</f>
        <v>0</v>
      </c>
      <c r="T251" s="169">
        <f>IF('Key Assumptions + Summary'!$G108='Sales, COGS, Sales Team'!T$13,'Key Assumptions + Summary'!$G$105,0)</f>
        <v>0</v>
      </c>
      <c r="U251" s="169">
        <f>IF('Key Assumptions + Summary'!$G108='Sales, COGS, Sales Team'!U$13,'Key Assumptions + Summary'!$G$105,0)</f>
        <v>0</v>
      </c>
      <c r="V251" s="169">
        <f>IF('Key Assumptions + Summary'!$G108='Sales, COGS, Sales Team'!V$13,'Key Assumptions + Summary'!$G$105,0)</f>
        <v>0</v>
      </c>
      <c r="W251" s="169">
        <f>IF('Key Assumptions + Summary'!$G108='Sales, COGS, Sales Team'!W$13,'Key Assumptions + Summary'!$G$105,0)</f>
        <v>0</v>
      </c>
      <c r="X251" s="169">
        <f>IF('Key Assumptions + Summary'!$G108='Sales, COGS, Sales Team'!X$13,'Key Assumptions + Summary'!$G$105,0)</f>
        <v>0</v>
      </c>
      <c r="Y251" s="169">
        <f>IF('Key Assumptions + Summary'!$G108='Sales, COGS, Sales Team'!Y$13,'Key Assumptions + Summary'!$G$105,0)</f>
        <v>0</v>
      </c>
      <c r="Z251" s="169">
        <f>IF('Key Assumptions + Summary'!$G108='Sales, COGS, Sales Team'!Z$13,'Key Assumptions + Summary'!$G$105,0)</f>
        <v>0</v>
      </c>
      <c r="AA251" s="169">
        <f>IF('Key Assumptions + Summary'!$G108='Sales, COGS, Sales Team'!AA$13,'Key Assumptions + Summary'!$G$105,0)</f>
        <v>0</v>
      </c>
      <c r="AB251" s="169">
        <f>IF('Key Assumptions + Summary'!$G108='Sales, COGS, Sales Team'!AB$13,'Key Assumptions + Summary'!$G$105,0)</f>
        <v>0</v>
      </c>
      <c r="AC251" s="169">
        <f>IF('Key Assumptions + Summary'!$G108='Sales, COGS, Sales Team'!AC$13,'Key Assumptions + Summary'!$G$105,0)</f>
        <v>0</v>
      </c>
      <c r="AD251" s="169">
        <f>IF('Key Assumptions + Summary'!$G108='Sales, COGS, Sales Team'!AD$13,'Key Assumptions + Summary'!$G$105,0)</f>
        <v>0</v>
      </c>
      <c r="AE251" s="169">
        <f>IF('Key Assumptions + Summary'!$G108='Sales, COGS, Sales Team'!AE$13,'Key Assumptions + Summary'!$G$105,0)</f>
        <v>0</v>
      </c>
      <c r="AF251" s="169">
        <f>IF('Key Assumptions + Summary'!$G108='Sales, COGS, Sales Team'!AF$13,'Key Assumptions + Summary'!$G$105,0)</f>
        <v>0</v>
      </c>
      <c r="AG251" s="169">
        <f>IF('Key Assumptions + Summary'!$G108='Sales, COGS, Sales Team'!AG$13,'Key Assumptions + Summary'!$G$105,0)</f>
        <v>0</v>
      </c>
      <c r="AH251" s="169">
        <f>IF('Key Assumptions + Summary'!$G108='Sales, COGS, Sales Team'!AH$13,'Key Assumptions + Summary'!$G$105,0)</f>
        <v>0</v>
      </c>
      <c r="AI251" s="169">
        <f>IF('Key Assumptions + Summary'!$G108='Sales, COGS, Sales Team'!AI$13,'Key Assumptions + Summary'!$G$105,0)</f>
        <v>0</v>
      </c>
      <c r="AJ251" s="169">
        <f>IF('Key Assumptions + Summary'!$G108='Sales, COGS, Sales Team'!AJ$13,'Key Assumptions + Summary'!$G$105,0)</f>
        <v>0</v>
      </c>
      <c r="AK251" s="169">
        <f>IF('Key Assumptions + Summary'!$G108='Sales, COGS, Sales Team'!AK$13,'Key Assumptions + Summary'!$G$105,0)</f>
        <v>0</v>
      </c>
      <c r="AL251" s="169">
        <f>IF('Key Assumptions + Summary'!$G108='Sales, COGS, Sales Team'!AL$13,'Key Assumptions + Summary'!$G$105,0)</f>
        <v>0</v>
      </c>
      <c r="AM251" s="169">
        <f>IF('Key Assumptions + Summary'!$G108='Sales, COGS, Sales Team'!AM$13,'Key Assumptions + Summary'!$G$105,0)</f>
        <v>0</v>
      </c>
      <c r="AN251" s="169">
        <f>IF('Key Assumptions + Summary'!$G108='Sales, COGS, Sales Team'!AN$13,'Key Assumptions + Summary'!$G$105,0)</f>
        <v>0</v>
      </c>
      <c r="AO251" s="169">
        <f>IF('Key Assumptions + Summary'!$G108='Sales, COGS, Sales Team'!AO$13,'Key Assumptions + Summary'!$G$105,0)</f>
        <v>0</v>
      </c>
      <c r="AP251" s="169">
        <f>IF('Key Assumptions + Summary'!$G108='Sales, COGS, Sales Team'!AP$13,'Key Assumptions + Summary'!$G$105,0)</f>
        <v>0</v>
      </c>
      <c r="AQ251" s="169">
        <f>IF('Key Assumptions + Summary'!$G108='Sales, COGS, Sales Team'!AQ$13,'Key Assumptions + Summary'!$G$105,0)</f>
        <v>0</v>
      </c>
      <c r="AR251" s="169">
        <f>IF('Key Assumptions + Summary'!$G108='Sales, COGS, Sales Team'!AR$13,'Key Assumptions + Summary'!$G$105,0)</f>
        <v>0</v>
      </c>
      <c r="AS251" s="169">
        <f>IF('Key Assumptions + Summary'!$G108='Sales, COGS, Sales Team'!AS$13,'Key Assumptions + Summary'!$G$105,0)</f>
        <v>0</v>
      </c>
      <c r="AT251" s="169">
        <f>IF('Key Assumptions + Summary'!$G108='Sales, COGS, Sales Team'!AT$13,'Key Assumptions + Summary'!$G$105,0)</f>
        <v>0</v>
      </c>
      <c r="AU251" s="169">
        <f>IF('Key Assumptions + Summary'!$G108='Sales, COGS, Sales Team'!AU$13,'Key Assumptions + Summary'!$G$105,0)</f>
        <v>0</v>
      </c>
      <c r="AW251" s="24">
        <f>SUMIFS($L251:$AU251,$L$11:$AU$11,"&gt;"&amp;AV$11,$L$11:$AU$11,"&lt;="&amp;AW$11)</f>
        <v>0</v>
      </c>
      <c r="AX251" s="24">
        <f t="shared" ref="AX251:BD251" si="285">SUMIFS($L251:$AU251,$L$11:$AU$11,"&gt;"&amp;AW$11,$L$11:$AU$11,"&lt;="&amp;AX$11)</f>
        <v>0</v>
      </c>
      <c r="AY251" s="24">
        <f t="shared" si="285"/>
        <v>0</v>
      </c>
      <c r="AZ251" s="24">
        <f t="shared" si="285"/>
        <v>0</v>
      </c>
      <c r="BA251" s="24">
        <f t="shared" si="285"/>
        <v>0</v>
      </c>
      <c r="BB251" s="24">
        <f t="shared" si="285"/>
        <v>0</v>
      </c>
      <c r="BC251" s="24">
        <f t="shared" si="285"/>
        <v>0</v>
      </c>
      <c r="BD251" s="24">
        <f t="shared" si="285"/>
        <v>0</v>
      </c>
      <c r="BF251" s="24">
        <f t="shared" ref="BF251:BG251" si="286">SUMIFS($L251:$AU251,$L$11:$AU$11,"&gt;"&amp;BE$11,$L$11:$AU$11,"&lt;="&amp;BF$11)</f>
        <v>0</v>
      </c>
      <c r="BG251" s="24">
        <f t="shared" si="286"/>
        <v>0</v>
      </c>
      <c r="BH251" s="24"/>
      <c r="BI251" s="24"/>
      <c r="BJ251" s="24"/>
    </row>
    <row r="252" spans="3:62" x14ac:dyDescent="0.2">
      <c r="C252" s="51"/>
      <c r="L252" s="52">
        <f t="shared" ref="L252:AU252" si="287">SUM(L249:L251)</f>
        <v>0</v>
      </c>
      <c r="M252" s="52">
        <f t="shared" si="287"/>
        <v>0</v>
      </c>
      <c r="N252" s="52">
        <f t="shared" si="287"/>
        <v>0</v>
      </c>
      <c r="O252" s="52">
        <f t="shared" si="287"/>
        <v>0</v>
      </c>
      <c r="P252" s="52">
        <f t="shared" si="287"/>
        <v>0</v>
      </c>
      <c r="Q252" s="52">
        <f t="shared" si="287"/>
        <v>0</v>
      </c>
      <c r="R252" s="52">
        <f t="shared" si="287"/>
        <v>0</v>
      </c>
      <c r="S252" s="52">
        <f t="shared" si="287"/>
        <v>0</v>
      </c>
      <c r="T252" s="52">
        <f t="shared" si="287"/>
        <v>0</v>
      </c>
      <c r="U252" s="52">
        <f t="shared" si="287"/>
        <v>655000</v>
      </c>
      <c r="V252" s="52">
        <f t="shared" si="287"/>
        <v>0</v>
      </c>
      <c r="W252" s="52">
        <f t="shared" si="287"/>
        <v>0</v>
      </c>
      <c r="X252" s="52">
        <f t="shared" si="287"/>
        <v>1630000</v>
      </c>
      <c r="Y252" s="52">
        <f t="shared" si="287"/>
        <v>0</v>
      </c>
      <c r="Z252" s="52">
        <f t="shared" si="287"/>
        <v>0</v>
      </c>
      <c r="AA252" s="52">
        <f t="shared" si="287"/>
        <v>0</v>
      </c>
      <c r="AB252" s="52">
        <f t="shared" si="287"/>
        <v>0</v>
      </c>
      <c r="AC252" s="52">
        <f t="shared" si="287"/>
        <v>0</v>
      </c>
      <c r="AD252" s="52">
        <f t="shared" si="287"/>
        <v>0</v>
      </c>
      <c r="AE252" s="52">
        <f t="shared" si="287"/>
        <v>0</v>
      </c>
      <c r="AF252" s="52">
        <f t="shared" si="287"/>
        <v>0</v>
      </c>
      <c r="AG252" s="52">
        <f t="shared" si="287"/>
        <v>0</v>
      </c>
      <c r="AH252" s="52">
        <f t="shared" si="287"/>
        <v>0</v>
      </c>
      <c r="AI252" s="52">
        <f t="shared" si="287"/>
        <v>0</v>
      </c>
      <c r="AJ252" s="52">
        <f t="shared" si="287"/>
        <v>0</v>
      </c>
      <c r="AK252" s="52">
        <f t="shared" si="287"/>
        <v>0</v>
      </c>
      <c r="AL252" s="52">
        <f t="shared" si="287"/>
        <v>0</v>
      </c>
      <c r="AM252" s="52">
        <f t="shared" si="287"/>
        <v>0</v>
      </c>
      <c r="AN252" s="52">
        <f t="shared" si="287"/>
        <v>0</v>
      </c>
      <c r="AO252" s="52">
        <f t="shared" si="287"/>
        <v>0</v>
      </c>
      <c r="AP252" s="52">
        <f t="shared" si="287"/>
        <v>0</v>
      </c>
      <c r="AQ252" s="52">
        <f t="shared" si="287"/>
        <v>0</v>
      </c>
      <c r="AR252" s="52">
        <f t="shared" si="287"/>
        <v>0</v>
      </c>
      <c r="AS252" s="52">
        <f t="shared" si="287"/>
        <v>0</v>
      </c>
      <c r="AT252" s="52">
        <f t="shared" si="287"/>
        <v>0</v>
      </c>
      <c r="AU252" s="52">
        <f t="shared" si="287"/>
        <v>0</v>
      </c>
      <c r="AW252" s="52">
        <f t="shared" ref="AW252:BD252" si="288">SUM(AW249:AW251)</f>
        <v>1630000</v>
      </c>
      <c r="AX252" s="52">
        <f t="shared" si="288"/>
        <v>0</v>
      </c>
      <c r="AY252" s="52">
        <f t="shared" si="288"/>
        <v>0</v>
      </c>
      <c r="AZ252" s="52">
        <f t="shared" si="288"/>
        <v>0</v>
      </c>
      <c r="BA252" s="52">
        <f t="shared" si="288"/>
        <v>0</v>
      </c>
      <c r="BB252" s="52">
        <f t="shared" si="288"/>
        <v>0</v>
      </c>
      <c r="BC252" s="52">
        <f t="shared" si="288"/>
        <v>0</v>
      </c>
      <c r="BD252" s="52">
        <f t="shared" si="288"/>
        <v>0</v>
      </c>
      <c r="BF252" s="52">
        <f>SUM(BF249:BF251)</f>
        <v>1630000</v>
      </c>
      <c r="BG252" s="52">
        <f>SUM(BG249:BG251)</f>
        <v>0</v>
      </c>
      <c r="BH252" s="52">
        <f>SUM(BH249:BH251)</f>
        <v>0</v>
      </c>
      <c r="BI252" s="52">
        <f>SUM(BI249:BI251)</f>
        <v>0</v>
      </c>
      <c r="BJ252" s="52">
        <f>SUM(BJ249:BJ251)</f>
        <v>0</v>
      </c>
    </row>
  </sheetData>
  <conditionalFormatting sqref="L249:BG251">
    <cfRule type="cellIs" dxfId="2" priority="1" operator="greaterThan">
      <formula>0</formula>
    </cfRule>
  </conditionalFormatting>
  <conditionalFormatting sqref="L252:BJ252">
    <cfRule type="cellIs" dxfId="1" priority="3" operator="greaterThan">
      <formula>0</formula>
    </cfRule>
  </conditionalFormatting>
  <conditionalFormatting sqref="AW190:BJ190">
    <cfRule type="cellIs" dxfId="0" priority="2" operator="lessThan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E0F93-CA0E-4FCA-A0EF-90D5870BF0D0}">
  <sheetPr>
    <tabColor theme="9" tint="0.39997558519241921"/>
  </sheetPr>
  <dimension ref="B2:BL199"/>
  <sheetViews>
    <sheetView showGridLines="0" zoomScale="90" zoomScaleNormal="90" workbookViewId="0">
      <pane xSplit="3" ySplit="7" topLeftCell="AV8" activePane="bottomRight" state="frozen"/>
      <selection pane="topRight" activeCell="D1" sqref="D1"/>
      <selection pane="bottomLeft" activeCell="A8" sqref="A8"/>
      <selection pane="bottomRight"/>
    </sheetView>
  </sheetViews>
  <sheetFormatPr defaultColWidth="9" defaultRowHeight="12.75" outlineLevelCol="1" x14ac:dyDescent="0.2"/>
  <cols>
    <col min="1" max="2" width="1.5" style="7" customWidth="1"/>
    <col min="3" max="3" width="37.625" style="7" bestFit="1" customWidth="1"/>
    <col min="4" max="5" width="2.125" style="7" customWidth="1"/>
    <col min="6" max="8" width="10.625" style="7" customWidth="1"/>
    <col min="9" max="9" width="11.125" style="7" bestFit="1" customWidth="1"/>
    <col min="10" max="10" width="12.125" style="7" bestFit="1" customWidth="1"/>
    <col min="11" max="11" width="2.625" style="7" customWidth="1"/>
    <col min="12" max="47" width="13.625" style="7" hidden="1" customWidth="1" outlineLevel="1"/>
    <col min="48" max="48" width="9.625" style="7" bestFit="1" customWidth="1" collapsed="1"/>
    <col min="49" max="56" width="13.625" style="7" customWidth="1"/>
    <col min="57" max="57" width="9.625" style="7" bestFit="1" customWidth="1"/>
    <col min="58" max="62" width="13.625" style="7" customWidth="1"/>
    <col min="63" max="63" width="10" style="7" bestFit="1" customWidth="1"/>
    <col min="64" max="16384" width="9" style="7"/>
  </cols>
  <sheetData>
    <row r="2" spans="2:62" x14ac:dyDescent="0.2">
      <c r="B2" s="4" t="s">
        <v>29</v>
      </c>
      <c r="C2" s="4"/>
      <c r="D2" s="5"/>
      <c r="E2" s="5"/>
      <c r="F2" s="5"/>
      <c r="G2" s="5"/>
      <c r="H2" s="5"/>
      <c r="I2" s="5"/>
      <c r="J2" s="5"/>
      <c r="K2" s="5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W2" s="6"/>
      <c r="AX2" s="6"/>
      <c r="AY2" s="6"/>
      <c r="AZ2" s="6"/>
      <c r="BA2" s="6"/>
      <c r="BB2" s="6"/>
      <c r="BC2" s="6"/>
      <c r="BD2" s="6"/>
      <c r="BF2" s="6"/>
      <c r="BG2" s="6"/>
      <c r="BH2" s="6"/>
      <c r="BI2" s="6"/>
      <c r="BJ2" s="6"/>
    </row>
    <row r="3" spans="2:62" x14ac:dyDescent="0.2">
      <c r="B3" s="8" t="s">
        <v>232</v>
      </c>
      <c r="C3" s="9"/>
      <c r="D3" s="5"/>
      <c r="E3" s="5"/>
      <c r="F3" s="5"/>
      <c r="G3" s="5"/>
      <c r="H3" s="5"/>
      <c r="I3" s="5"/>
      <c r="J3" s="5"/>
      <c r="K3" s="5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W3" s="6"/>
      <c r="AX3" s="6"/>
      <c r="AY3" s="6"/>
      <c r="AZ3" s="6"/>
      <c r="BA3" s="6"/>
      <c r="BB3" s="6"/>
      <c r="BC3" s="6"/>
      <c r="BD3" s="6"/>
      <c r="BF3" s="6"/>
      <c r="BG3" s="6"/>
      <c r="BH3" s="6"/>
      <c r="BI3" s="6"/>
      <c r="BJ3" s="6"/>
    </row>
    <row r="4" spans="2:62" x14ac:dyDescent="0.2"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W4" s="10"/>
      <c r="AX4" s="10"/>
      <c r="AY4" s="10"/>
      <c r="AZ4" s="10"/>
      <c r="BA4" s="10"/>
      <c r="BB4" s="10"/>
      <c r="BC4" s="10"/>
      <c r="BD4" s="10"/>
      <c r="BF4" s="10"/>
      <c r="BG4" s="10"/>
      <c r="BH4" s="10"/>
      <c r="BI4" s="10"/>
      <c r="BJ4" s="10"/>
    </row>
    <row r="5" spans="2:62" ht="13.5" thickBot="1" x14ac:dyDescent="0.25">
      <c r="C5" s="15" t="s">
        <v>44</v>
      </c>
      <c r="D5" s="16"/>
      <c r="E5" s="16"/>
      <c r="F5" s="16"/>
      <c r="G5" s="16"/>
      <c r="H5" s="16"/>
      <c r="I5" s="16"/>
      <c r="J5" s="16"/>
      <c r="K5" s="16"/>
      <c r="L5" s="17">
        <v>44957</v>
      </c>
      <c r="M5" s="17">
        <f t="shared" ref="M5:AU5" si="0">EOMONTH(L5,1)</f>
        <v>44985</v>
      </c>
      <c r="N5" s="17">
        <f t="shared" si="0"/>
        <v>45016</v>
      </c>
      <c r="O5" s="17">
        <f t="shared" si="0"/>
        <v>45046</v>
      </c>
      <c r="P5" s="17">
        <f t="shared" si="0"/>
        <v>45077</v>
      </c>
      <c r="Q5" s="17">
        <f t="shared" si="0"/>
        <v>45107</v>
      </c>
      <c r="R5" s="17">
        <f t="shared" si="0"/>
        <v>45138</v>
      </c>
      <c r="S5" s="17">
        <f t="shared" si="0"/>
        <v>45169</v>
      </c>
      <c r="T5" s="17">
        <f t="shared" si="0"/>
        <v>45199</v>
      </c>
      <c r="U5" s="17">
        <f t="shared" si="0"/>
        <v>45230</v>
      </c>
      <c r="V5" s="17">
        <f t="shared" si="0"/>
        <v>45260</v>
      </c>
      <c r="W5" s="17">
        <f t="shared" si="0"/>
        <v>45291</v>
      </c>
      <c r="X5" s="17">
        <f t="shared" si="0"/>
        <v>45322</v>
      </c>
      <c r="Y5" s="17">
        <f t="shared" si="0"/>
        <v>45351</v>
      </c>
      <c r="Z5" s="17">
        <f t="shared" si="0"/>
        <v>45382</v>
      </c>
      <c r="AA5" s="17">
        <f t="shared" si="0"/>
        <v>45412</v>
      </c>
      <c r="AB5" s="17">
        <f t="shared" si="0"/>
        <v>45443</v>
      </c>
      <c r="AC5" s="17">
        <f t="shared" si="0"/>
        <v>45473</v>
      </c>
      <c r="AD5" s="17">
        <f t="shared" si="0"/>
        <v>45504</v>
      </c>
      <c r="AE5" s="17">
        <f t="shared" si="0"/>
        <v>45535</v>
      </c>
      <c r="AF5" s="17">
        <f t="shared" si="0"/>
        <v>45565</v>
      </c>
      <c r="AG5" s="17">
        <f t="shared" si="0"/>
        <v>45596</v>
      </c>
      <c r="AH5" s="17">
        <f t="shared" si="0"/>
        <v>45626</v>
      </c>
      <c r="AI5" s="17">
        <f t="shared" si="0"/>
        <v>45657</v>
      </c>
      <c r="AJ5" s="17">
        <f t="shared" si="0"/>
        <v>45688</v>
      </c>
      <c r="AK5" s="17">
        <f t="shared" si="0"/>
        <v>45716</v>
      </c>
      <c r="AL5" s="17">
        <f t="shared" si="0"/>
        <v>45747</v>
      </c>
      <c r="AM5" s="17">
        <f t="shared" si="0"/>
        <v>45777</v>
      </c>
      <c r="AN5" s="17">
        <f t="shared" si="0"/>
        <v>45808</v>
      </c>
      <c r="AO5" s="17">
        <f t="shared" si="0"/>
        <v>45838</v>
      </c>
      <c r="AP5" s="17">
        <f t="shared" si="0"/>
        <v>45869</v>
      </c>
      <c r="AQ5" s="17">
        <f t="shared" si="0"/>
        <v>45900</v>
      </c>
      <c r="AR5" s="17">
        <f t="shared" si="0"/>
        <v>45930</v>
      </c>
      <c r="AS5" s="17">
        <f t="shared" si="0"/>
        <v>45961</v>
      </c>
      <c r="AT5" s="17">
        <f t="shared" si="0"/>
        <v>45991</v>
      </c>
      <c r="AU5" s="17">
        <f t="shared" si="0"/>
        <v>46022</v>
      </c>
      <c r="AV5" s="42">
        <f>EOMONTH(AW5,-3)</f>
        <v>45291</v>
      </c>
      <c r="AW5" s="17">
        <v>45382</v>
      </c>
      <c r="AX5" s="17">
        <f t="shared" ref="AX5:BD5" si="1">EOMONTH(AW5,3)</f>
        <v>45473</v>
      </c>
      <c r="AY5" s="17">
        <f t="shared" si="1"/>
        <v>45565</v>
      </c>
      <c r="AZ5" s="17">
        <f t="shared" si="1"/>
        <v>45657</v>
      </c>
      <c r="BA5" s="17">
        <f t="shared" si="1"/>
        <v>45747</v>
      </c>
      <c r="BB5" s="17">
        <f t="shared" si="1"/>
        <v>45838</v>
      </c>
      <c r="BC5" s="17">
        <f t="shared" si="1"/>
        <v>45930</v>
      </c>
      <c r="BD5" s="17">
        <f t="shared" si="1"/>
        <v>46022</v>
      </c>
      <c r="BE5" s="42">
        <f>EOMONTH(BF5,-12)</f>
        <v>45291</v>
      </c>
      <c r="BF5" s="17">
        <v>45657</v>
      </c>
      <c r="BG5" s="17">
        <f>EOMONTH(BF5,12)</f>
        <v>46022</v>
      </c>
      <c r="BH5" s="17">
        <f>EOMONTH(BG5,12)</f>
        <v>46387</v>
      </c>
      <c r="BI5" s="17">
        <f>EOMONTH(BH5,12)</f>
        <v>46752</v>
      </c>
      <c r="BJ5" s="17">
        <f>EOMONTH(BI5,12)</f>
        <v>47118</v>
      </c>
    </row>
    <row r="6" spans="2:62" x14ac:dyDescent="0.2">
      <c r="C6" s="18" t="s">
        <v>52</v>
      </c>
      <c r="D6" s="18"/>
      <c r="E6" s="18"/>
      <c r="F6" s="18"/>
      <c r="G6" s="18"/>
      <c r="H6" s="18"/>
      <c r="I6" s="18"/>
      <c r="J6" s="18"/>
      <c r="K6" s="18"/>
      <c r="L6" s="27">
        <v>1</v>
      </c>
      <c r="M6" s="28">
        <f t="shared" ref="M6:AU6" si="2">L6+1</f>
        <v>2</v>
      </c>
      <c r="N6" s="28">
        <f t="shared" si="2"/>
        <v>3</v>
      </c>
      <c r="O6" s="28">
        <f t="shared" si="2"/>
        <v>4</v>
      </c>
      <c r="P6" s="28">
        <f t="shared" si="2"/>
        <v>5</v>
      </c>
      <c r="Q6" s="28">
        <f t="shared" si="2"/>
        <v>6</v>
      </c>
      <c r="R6" s="28">
        <f t="shared" si="2"/>
        <v>7</v>
      </c>
      <c r="S6" s="28">
        <f t="shared" si="2"/>
        <v>8</v>
      </c>
      <c r="T6" s="28">
        <f t="shared" si="2"/>
        <v>9</v>
      </c>
      <c r="U6" s="28">
        <f t="shared" si="2"/>
        <v>10</v>
      </c>
      <c r="V6" s="28">
        <f t="shared" si="2"/>
        <v>11</v>
      </c>
      <c r="W6" s="28">
        <f t="shared" si="2"/>
        <v>12</v>
      </c>
      <c r="X6" s="28">
        <f t="shared" si="2"/>
        <v>13</v>
      </c>
      <c r="Y6" s="28">
        <f t="shared" si="2"/>
        <v>14</v>
      </c>
      <c r="Z6" s="28">
        <f t="shared" si="2"/>
        <v>15</v>
      </c>
      <c r="AA6" s="28">
        <f t="shared" si="2"/>
        <v>16</v>
      </c>
      <c r="AB6" s="28">
        <f t="shared" si="2"/>
        <v>17</v>
      </c>
      <c r="AC6" s="28">
        <f t="shared" si="2"/>
        <v>18</v>
      </c>
      <c r="AD6" s="28">
        <f t="shared" si="2"/>
        <v>19</v>
      </c>
      <c r="AE6" s="28">
        <f t="shared" si="2"/>
        <v>20</v>
      </c>
      <c r="AF6" s="28">
        <f t="shared" si="2"/>
        <v>21</v>
      </c>
      <c r="AG6" s="28">
        <f t="shared" si="2"/>
        <v>22</v>
      </c>
      <c r="AH6" s="28">
        <f t="shared" si="2"/>
        <v>23</v>
      </c>
      <c r="AI6" s="28">
        <f t="shared" si="2"/>
        <v>24</v>
      </c>
      <c r="AJ6" s="28">
        <f t="shared" si="2"/>
        <v>25</v>
      </c>
      <c r="AK6" s="28">
        <f t="shared" si="2"/>
        <v>26</v>
      </c>
      <c r="AL6" s="28">
        <f t="shared" si="2"/>
        <v>27</v>
      </c>
      <c r="AM6" s="28">
        <f t="shared" si="2"/>
        <v>28</v>
      </c>
      <c r="AN6" s="28">
        <f t="shared" si="2"/>
        <v>29</v>
      </c>
      <c r="AO6" s="28">
        <f t="shared" si="2"/>
        <v>30</v>
      </c>
      <c r="AP6" s="28">
        <f t="shared" si="2"/>
        <v>31</v>
      </c>
      <c r="AQ6" s="28">
        <f t="shared" si="2"/>
        <v>32</v>
      </c>
      <c r="AR6" s="28">
        <f t="shared" si="2"/>
        <v>33</v>
      </c>
      <c r="AS6" s="28">
        <f t="shared" si="2"/>
        <v>34</v>
      </c>
      <c r="AT6" s="28">
        <f t="shared" si="2"/>
        <v>35</v>
      </c>
      <c r="AU6" s="28">
        <f t="shared" si="2"/>
        <v>36</v>
      </c>
      <c r="AW6" s="41">
        <f t="shared" ref="AW6:BD6" si="3">AV6+1</f>
        <v>1</v>
      </c>
      <c r="AX6" s="41">
        <f t="shared" si="3"/>
        <v>2</v>
      </c>
      <c r="AY6" s="41">
        <f t="shared" si="3"/>
        <v>3</v>
      </c>
      <c r="AZ6" s="41">
        <f t="shared" si="3"/>
        <v>4</v>
      </c>
      <c r="BA6" s="41">
        <f t="shared" si="3"/>
        <v>5</v>
      </c>
      <c r="BB6" s="41">
        <f t="shared" si="3"/>
        <v>6</v>
      </c>
      <c r="BC6" s="41">
        <f t="shared" si="3"/>
        <v>7</v>
      </c>
      <c r="BD6" s="41">
        <f t="shared" si="3"/>
        <v>8</v>
      </c>
      <c r="BF6" s="44">
        <f>BE6+1</f>
        <v>1</v>
      </c>
      <c r="BG6" s="44">
        <f>BF6+1</f>
        <v>2</v>
      </c>
      <c r="BH6" s="44">
        <f>BG6+1</f>
        <v>3</v>
      </c>
      <c r="BI6" s="44">
        <f>BH6+1</f>
        <v>4</v>
      </c>
      <c r="BJ6" s="44">
        <f>BI6+1</f>
        <v>5</v>
      </c>
    </row>
    <row r="7" spans="2:62" x14ac:dyDescent="0.2">
      <c r="C7" s="19" t="s">
        <v>53</v>
      </c>
      <c r="D7" s="20"/>
      <c r="E7" s="20"/>
      <c r="F7" s="20"/>
      <c r="G7" s="20"/>
      <c r="H7" s="20"/>
      <c r="I7" s="20"/>
      <c r="J7" s="20"/>
      <c r="K7" s="20"/>
      <c r="L7" s="21">
        <f t="shared" ref="L7:AU7" si="4">L5</f>
        <v>44957</v>
      </c>
      <c r="M7" s="21">
        <f t="shared" si="4"/>
        <v>44985</v>
      </c>
      <c r="N7" s="21">
        <f t="shared" si="4"/>
        <v>45016</v>
      </c>
      <c r="O7" s="21">
        <f t="shared" si="4"/>
        <v>45046</v>
      </c>
      <c r="P7" s="21">
        <f t="shared" si="4"/>
        <v>45077</v>
      </c>
      <c r="Q7" s="21">
        <f t="shared" si="4"/>
        <v>45107</v>
      </c>
      <c r="R7" s="21">
        <f t="shared" si="4"/>
        <v>45138</v>
      </c>
      <c r="S7" s="21">
        <f t="shared" si="4"/>
        <v>45169</v>
      </c>
      <c r="T7" s="21">
        <f t="shared" si="4"/>
        <v>45199</v>
      </c>
      <c r="U7" s="21">
        <f t="shared" si="4"/>
        <v>45230</v>
      </c>
      <c r="V7" s="21">
        <f t="shared" si="4"/>
        <v>45260</v>
      </c>
      <c r="W7" s="21">
        <f t="shared" si="4"/>
        <v>45291</v>
      </c>
      <c r="X7" s="21">
        <f t="shared" si="4"/>
        <v>45322</v>
      </c>
      <c r="Y7" s="21">
        <f t="shared" si="4"/>
        <v>45351</v>
      </c>
      <c r="Z7" s="21">
        <f t="shared" si="4"/>
        <v>45382</v>
      </c>
      <c r="AA7" s="21">
        <f t="shared" si="4"/>
        <v>45412</v>
      </c>
      <c r="AB7" s="21">
        <f t="shared" si="4"/>
        <v>45443</v>
      </c>
      <c r="AC7" s="21">
        <f t="shared" si="4"/>
        <v>45473</v>
      </c>
      <c r="AD7" s="21">
        <f t="shared" si="4"/>
        <v>45504</v>
      </c>
      <c r="AE7" s="21">
        <f t="shared" si="4"/>
        <v>45535</v>
      </c>
      <c r="AF7" s="21">
        <f t="shared" si="4"/>
        <v>45565</v>
      </c>
      <c r="AG7" s="21">
        <f t="shared" si="4"/>
        <v>45596</v>
      </c>
      <c r="AH7" s="21">
        <f t="shared" si="4"/>
        <v>45626</v>
      </c>
      <c r="AI7" s="21">
        <f t="shared" si="4"/>
        <v>45657</v>
      </c>
      <c r="AJ7" s="21">
        <f t="shared" si="4"/>
        <v>45688</v>
      </c>
      <c r="AK7" s="21">
        <f t="shared" si="4"/>
        <v>45716</v>
      </c>
      <c r="AL7" s="21">
        <f t="shared" si="4"/>
        <v>45747</v>
      </c>
      <c r="AM7" s="21">
        <f t="shared" si="4"/>
        <v>45777</v>
      </c>
      <c r="AN7" s="21">
        <f t="shared" si="4"/>
        <v>45808</v>
      </c>
      <c r="AO7" s="21">
        <f t="shared" si="4"/>
        <v>45838</v>
      </c>
      <c r="AP7" s="21">
        <f t="shared" si="4"/>
        <v>45869</v>
      </c>
      <c r="AQ7" s="21">
        <f t="shared" si="4"/>
        <v>45900</v>
      </c>
      <c r="AR7" s="21">
        <f t="shared" si="4"/>
        <v>45930</v>
      </c>
      <c r="AS7" s="21">
        <f t="shared" si="4"/>
        <v>45961</v>
      </c>
      <c r="AT7" s="21">
        <f t="shared" si="4"/>
        <v>45991</v>
      </c>
      <c r="AU7" s="21">
        <f t="shared" si="4"/>
        <v>46022</v>
      </c>
      <c r="AW7" s="21">
        <f t="shared" ref="AW7:BD7" si="5">AW5</f>
        <v>45382</v>
      </c>
      <c r="AX7" s="21">
        <f t="shared" si="5"/>
        <v>45473</v>
      </c>
      <c r="AY7" s="21">
        <f t="shared" si="5"/>
        <v>45565</v>
      </c>
      <c r="AZ7" s="21">
        <f t="shared" si="5"/>
        <v>45657</v>
      </c>
      <c r="BA7" s="21">
        <f t="shared" si="5"/>
        <v>45747</v>
      </c>
      <c r="BB7" s="21">
        <f t="shared" si="5"/>
        <v>45838</v>
      </c>
      <c r="BC7" s="21">
        <f t="shared" si="5"/>
        <v>45930</v>
      </c>
      <c r="BD7" s="21">
        <f t="shared" si="5"/>
        <v>46022</v>
      </c>
      <c r="BF7" s="21">
        <f>BF5</f>
        <v>45657</v>
      </c>
      <c r="BG7" s="21">
        <f>BG5</f>
        <v>46022</v>
      </c>
      <c r="BH7" s="21">
        <f>BH5</f>
        <v>46387</v>
      </c>
      <c r="BI7" s="21">
        <f>BI5</f>
        <v>46752</v>
      </c>
      <c r="BJ7" s="21">
        <f>BJ5</f>
        <v>47118</v>
      </c>
    </row>
    <row r="8" spans="2:62" x14ac:dyDescent="0.2">
      <c r="C8" s="22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W8" s="10"/>
      <c r="AX8" s="10"/>
      <c r="AY8" s="10"/>
      <c r="AZ8" s="10"/>
      <c r="BA8" s="10"/>
      <c r="BB8" s="10"/>
      <c r="BC8" s="10"/>
      <c r="BD8" s="10"/>
      <c r="BF8" s="10"/>
      <c r="BG8" s="10"/>
      <c r="BH8" s="10"/>
      <c r="BI8" s="10"/>
      <c r="BJ8" s="10"/>
    </row>
    <row r="9" spans="2:62" x14ac:dyDescent="0.2">
      <c r="B9" s="11" t="s">
        <v>231</v>
      </c>
      <c r="C9" s="11"/>
      <c r="D9" s="12"/>
      <c r="E9" s="12"/>
      <c r="F9" s="12"/>
      <c r="G9" s="13"/>
      <c r="H9" s="13"/>
      <c r="I9" s="13"/>
      <c r="J9" s="13"/>
      <c r="K9" s="13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W9" s="12"/>
      <c r="AX9" s="12"/>
      <c r="AY9" s="12"/>
      <c r="AZ9" s="12"/>
      <c r="BA9" s="12"/>
      <c r="BB9" s="12"/>
      <c r="BC9" s="12"/>
      <c r="BD9" s="12"/>
      <c r="BF9" s="12"/>
      <c r="BG9" s="12"/>
      <c r="BH9" s="12"/>
      <c r="BI9" s="12"/>
      <c r="BJ9" s="12"/>
    </row>
    <row r="10" spans="2:62" x14ac:dyDescent="0.2">
      <c r="C10" s="14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W10" s="10"/>
      <c r="AX10" s="10"/>
      <c r="AY10" s="10"/>
      <c r="AZ10" s="10"/>
      <c r="BA10" s="10"/>
      <c r="BB10" s="10"/>
      <c r="BC10" s="10"/>
      <c r="BD10" s="10"/>
      <c r="BF10" s="10"/>
      <c r="BG10" s="10"/>
      <c r="BH10" s="10"/>
      <c r="BI10" s="10"/>
      <c r="BJ10" s="10"/>
    </row>
    <row r="11" spans="2:62" ht="13.5" thickBot="1" x14ac:dyDescent="0.25">
      <c r="C11" s="15" t="s">
        <v>44</v>
      </c>
      <c r="D11" s="16"/>
      <c r="E11" s="16"/>
      <c r="F11" s="16"/>
      <c r="G11" s="16"/>
      <c r="H11" s="16"/>
      <c r="I11" s="16"/>
      <c r="J11" s="16"/>
      <c r="K11" s="16"/>
      <c r="L11" s="17">
        <v>44957</v>
      </c>
      <c r="M11" s="17">
        <f t="shared" ref="M11:AU11" si="6">EOMONTH(L11,1)</f>
        <v>44985</v>
      </c>
      <c r="N11" s="17">
        <f t="shared" si="6"/>
        <v>45016</v>
      </c>
      <c r="O11" s="17">
        <f t="shared" si="6"/>
        <v>45046</v>
      </c>
      <c r="P11" s="17">
        <f t="shared" si="6"/>
        <v>45077</v>
      </c>
      <c r="Q11" s="17">
        <f t="shared" si="6"/>
        <v>45107</v>
      </c>
      <c r="R11" s="17">
        <f t="shared" si="6"/>
        <v>45138</v>
      </c>
      <c r="S11" s="17">
        <f t="shared" si="6"/>
        <v>45169</v>
      </c>
      <c r="T11" s="17">
        <f t="shared" si="6"/>
        <v>45199</v>
      </c>
      <c r="U11" s="17">
        <f t="shared" si="6"/>
        <v>45230</v>
      </c>
      <c r="V11" s="17">
        <f t="shared" si="6"/>
        <v>45260</v>
      </c>
      <c r="W11" s="17">
        <f t="shared" si="6"/>
        <v>45291</v>
      </c>
      <c r="X11" s="17">
        <f t="shared" si="6"/>
        <v>45322</v>
      </c>
      <c r="Y11" s="17">
        <f t="shared" si="6"/>
        <v>45351</v>
      </c>
      <c r="Z11" s="17">
        <f t="shared" si="6"/>
        <v>45382</v>
      </c>
      <c r="AA11" s="17">
        <f t="shared" si="6"/>
        <v>45412</v>
      </c>
      <c r="AB11" s="17">
        <f t="shared" si="6"/>
        <v>45443</v>
      </c>
      <c r="AC11" s="17">
        <f t="shared" si="6"/>
        <v>45473</v>
      </c>
      <c r="AD11" s="17">
        <f t="shared" si="6"/>
        <v>45504</v>
      </c>
      <c r="AE11" s="17">
        <f t="shared" si="6"/>
        <v>45535</v>
      </c>
      <c r="AF11" s="17">
        <f t="shared" si="6"/>
        <v>45565</v>
      </c>
      <c r="AG11" s="17">
        <f t="shared" si="6"/>
        <v>45596</v>
      </c>
      <c r="AH11" s="17">
        <f t="shared" si="6"/>
        <v>45626</v>
      </c>
      <c r="AI11" s="17">
        <f t="shared" si="6"/>
        <v>45657</v>
      </c>
      <c r="AJ11" s="17">
        <f t="shared" si="6"/>
        <v>45688</v>
      </c>
      <c r="AK11" s="17">
        <f t="shared" si="6"/>
        <v>45716</v>
      </c>
      <c r="AL11" s="17">
        <f t="shared" si="6"/>
        <v>45747</v>
      </c>
      <c r="AM11" s="17">
        <f t="shared" si="6"/>
        <v>45777</v>
      </c>
      <c r="AN11" s="17">
        <f t="shared" si="6"/>
        <v>45808</v>
      </c>
      <c r="AO11" s="17">
        <f t="shared" si="6"/>
        <v>45838</v>
      </c>
      <c r="AP11" s="17">
        <f t="shared" si="6"/>
        <v>45869</v>
      </c>
      <c r="AQ11" s="17">
        <f t="shared" si="6"/>
        <v>45900</v>
      </c>
      <c r="AR11" s="17">
        <f t="shared" si="6"/>
        <v>45930</v>
      </c>
      <c r="AS11" s="17">
        <f t="shared" si="6"/>
        <v>45961</v>
      </c>
      <c r="AT11" s="17">
        <f t="shared" si="6"/>
        <v>45991</v>
      </c>
      <c r="AU11" s="17">
        <f t="shared" si="6"/>
        <v>46022</v>
      </c>
      <c r="AV11" s="42">
        <f>EOMONTH(AW11,-3)</f>
        <v>45291</v>
      </c>
      <c r="AW11" s="17">
        <v>45382</v>
      </c>
      <c r="AX11" s="17">
        <f t="shared" ref="AX11:BD11" si="7">EOMONTH(AW11,3)</f>
        <v>45473</v>
      </c>
      <c r="AY11" s="17">
        <f t="shared" si="7"/>
        <v>45565</v>
      </c>
      <c r="AZ11" s="17">
        <f t="shared" si="7"/>
        <v>45657</v>
      </c>
      <c r="BA11" s="17">
        <f t="shared" si="7"/>
        <v>45747</v>
      </c>
      <c r="BB11" s="17">
        <f t="shared" si="7"/>
        <v>45838</v>
      </c>
      <c r="BC11" s="17">
        <f t="shared" si="7"/>
        <v>45930</v>
      </c>
      <c r="BD11" s="17">
        <f t="shared" si="7"/>
        <v>46022</v>
      </c>
      <c r="BE11" s="42">
        <f>EOMONTH(BF11,-12)</f>
        <v>45291</v>
      </c>
      <c r="BF11" s="17">
        <v>45657</v>
      </c>
      <c r="BG11" s="17">
        <f>EOMONTH(BF11,12)</f>
        <v>46022</v>
      </c>
      <c r="BH11" s="17">
        <f>EOMONTH(BG11,12)</f>
        <v>46387</v>
      </c>
      <c r="BI11" s="17">
        <f>EOMONTH(BH11,12)</f>
        <v>46752</v>
      </c>
      <c r="BJ11" s="17">
        <f>EOMONTH(BI11,12)</f>
        <v>47118</v>
      </c>
    </row>
    <row r="12" spans="2:62" x14ac:dyDescent="0.2">
      <c r="C12" s="18" t="s">
        <v>52</v>
      </c>
      <c r="D12" s="18"/>
      <c r="E12" s="18"/>
      <c r="F12" s="18"/>
      <c r="G12" s="18"/>
      <c r="H12" s="18"/>
      <c r="I12" s="18"/>
      <c r="J12" s="18"/>
      <c r="K12" s="18"/>
      <c r="L12" s="27">
        <v>1</v>
      </c>
      <c r="M12" s="28">
        <f t="shared" ref="M12:AU12" si="8">L12+1</f>
        <v>2</v>
      </c>
      <c r="N12" s="28">
        <f t="shared" si="8"/>
        <v>3</v>
      </c>
      <c r="O12" s="28">
        <f t="shared" si="8"/>
        <v>4</v>
      </c>
      <c r="P12" s="28">
        <f t="shared" si="8"/>
        <v>5</v>
      </c>
      <c r="Q12" s="28">
        <f t="shared" si="8"/>
        <v>6</v>
      </c>
      <c r="R12" s="28">
        <f t="shared" si="8"/>
        <v>7</v>
      </c>
      <c r="S12" s="28">
        <f t="shared" si="8"/>
        <v>8</v>
      </c>
      <c r="T12" s="28">
        <f t="shared" si="8"/>
        <v>9</v>
      </c>
      <c r="U12" s="28">
        <f t="shared" si="8"/>
        <v>10</v>
      </c>
      <c r="V12" s="28">
        <f t="shared" si="8"/>
        <v>11</v>
      </c>
      <c r="W12" s="28">
        <f t="shared" si="8"/>
        <v>12</v>
      </c>
      <c r="X12" s="28">
        <f t="shared" si="8"/>
        <v>13</v>
      </c>
      <c r="Y12" s="28">
        <f t="shared" si="8"/>
        <v>14</v>
      </c>
      <c r="Z12" s="28">
        <f t="shared" si="8"/>
        <v>15</v>
      </c>
      <c r="AA12" s="28">
        <f t="shared" si="8"/>
        <v>16</v>
      </c>
      <c r="AB12" s="28">
        <f t="shared" si="8"/>
        <v>17</v>
      </c>
      <c r="AC12" s="28">
        <f t="shared" si="8"/>
        <v>18</v>
      </c>
      <c r="AD12" s="28">
        <f t="shared" si="8"/>
        <v>19</v>
      </c>
      <c r="AE12" s="28">
        <f t="shared" si="8"/>
        <v>20</v>
      </c>
      <c r="AF12" s="28">
        <f t="shared" si="8"/>
        <v>21</v>
      </c>
      <c r="AG12" s="28">
        <f t="shared" si="8"/>
        <v>22</v>
      </c>
      <c r="AH12" s="28">
        <f t="shared" si="8"/>
        <v>23</v>
      </c>
      <c r="AI12" s="28">
        <f t="shared" si="8"/>
        <v>24</v>
      </c>
      <c r="AJ12" s="28">
        <f t="shared" si="8"/>
        <v>25</v>
      </c>
      <c r="AK12" s="28">
        <f t="shared" si="8"/>
        <v>26</v>
      </c>
      <c r="AL12" s="28">
        <f t="shared" si="8"/>
        <v>27</v>
      </c>
      <c r="AM12" s="28">
        <f t="shared" si="8"/>
        <v>28</v>
      </c>
      <c r="AN12" s="28">
        <f t="shared" si="8"/>
        <v>29</v>
      </c>
      <c r="AO12" s="28">
        <f t="shared" si="8"/>
        <v>30</v>
      </c>
      <c r="AP12" s="28">
        <f t="shared" si="8"/>
        <v>31</v>
      </c>
      <c r="AQ12" s="28">
        <f t="shared" si="8"/>
        <v>32</v>
      </c>
      <c r="AR12" s="28">
        <f t="shared" si="8"/>
        <v>33</v>
      </c>
      <c r="AS12" s="28">
        <f t="shared" si="8"/>
        <v>34</v>
      </c>
      <c r="AT12" s="28">
        <f t="shared" si="8"/>
        <v>35</v>
      </c>
      <c r="AU12" s="28">
        <f t="shared" si="8"/>
        <v>36</v>
      </c>
      <c r="AW12" s="41">
        <f t="shared" ref="AW12:BD12" si="9">AV12+1</f>
        <v>1</v>
      </c>
      <c r="AX12" s="41">
        <f t="shared" si="9"/>
        <v>2</v>
      </c>
      <c r="AY12" s="41">
        <f t="shared" si="9"/>
        <v>3</v>
      </c>
      <c r="AZ12" s="41">
        <f t="shared" si="9"/>
        <v>4</v>
      </c>
      <c r="BA12" s="41">
        <f t="shared" si="9"/>
        <v>5</v>
      </c>
      <c r="BB12" s="41">
        <f t="shared" si="9"/>
        <v>6</v>
      </c>
      <c r="BC12" s="41">
        <f t="shared" si="9"/>
        <v>7</v>
      </c>
      <c r="BD12" s="41">
        <f t="shared" si="9"/>
        <v>8</v>
      </c>
      <c r="BF12" s="44">
        <f>BE12+1</f>
        <v>1</v>
      </c>
      <c r="BG12" s="44">
        <f>BF12+1</f>
        <v>2</v>
      </c>
      <c r="BH12" s="44">
        <f>BG12+1</f>
        <v>3</v>
      </c>
      <c r="BI12" s="44">
        <f>BH12+1</f>
        <v>4</v>
      </c>
      <c r="BJ12" s="44">
        <f>BI12+1</f>
        <v>5</v>
      </c>
    </row>
    <row r="13" spans="2:62" x14ac:dyDescent="0.2">
      <c r="C13" s="19" t="s">
        <v>53</v>
      </c>
      <c r="D13" s="20"/>
      <c r="E13" s="20"/>
      <c r="F13" s="20"/>
      <c r="G13" s="20"/>
      <c r="H13" s="20"/>
      <c r="I13" s="20"/>
      <c r="J13" s="20"/>
      <c r="K13" s="20"/>
      <c r="L13" s="21">
        <f t="shared" ref="L13:AU13" si="10">L11</f>
        <v>44957</v>
      </c>
      <c r="M13" s="21">
        <f t="shared" si="10"/>
        <v>44985</v>
      </c>
      <c r="N13" s="21">
        <f t="shared" si="10"/>
        <v>45016</v>
      </c>
      <c r="O13" s="21">
        <f t="shared" si="10"/>
        <v>45046</v>
      </c>
      <c r="P13" s="21">
        <f t="shared" si="10"/>
        <v>45077</v>
      </c>
      <c r="Q13" s="21">
        <f t="shared" si="10"/>
        <v>45107</v>
      </c>
      <c r="R13" s="21">
        <f t="shared" si="10"/>
        <v>45138</v>
      </c>
      <c r="S13" s="21">
        <f t="shared" si="10"/>
        <v>45169</v>
      </c>
      <c r="T13" s="21">
        <f t="shared" si="10"/>
        <v>45199</v>
      </c>
      <c r="U13" s="21">
        <f t="shared" si="10"/>
        <v>45230</v>
      </c>
      <c r="V13" s="21">
        <f t="shared" si="10"/>
        <v>45260</v>
      </c>
      <c r="W13" s="21">
        <f t="shared" si="10"/>
        <v>45291</v>
      </c>
      <c r="X13" s="21">
        <f t="shared" si="10"/>
        <v>45322</v>
      </c>
      <c r="Y13" s="21">
        <f t="shared" si="10"/>
        <v>45351</v>
      </c>
      <c r="Z13" s="21">
        <f t="shared" si="10"/>
        <v>45382</v>
      </c>
      <c r="AA13" s="21">
        <f t="shared" si="10"/>
        <v>45412</v>
      </c>
      <c r="AB13" s="21">
        <f t="shared" si="10"/>
        <v>45443</v>
      </c>
      <c r="AC13" s="21">
        <f t="shared" si="10"/>
        <v>45473</v>
      </c>
      <c r="AD13" s="21">
        <f t="shared" si="10"/>
        <v>45504</v>
      </c>
      <c r="AE13" s="21">
        <f t="shared" si="10"/>
        <v>45535</v>
      </c>
      <c r="AF13" s="21">
        <f t="shared" si="10"/>
        <v>45565</v>
      </c>
      <c r="AG13" s="21">
        <f t="shared" si="10"/>
        <v>45596</v>
      </c>
      <c r="AH13" s="21">
        <f t="shared" si="10"/>
        <v>45626</v>
      </c>
      <c r="AI13" s="21">
        <f t="shared" si="10"/>
        <v>45657</v>
      </c>
      <c r="AJ13" s="21">
        <f t="shared" si="10"/>
        <v>45688</v>
      </c>
      <c r="AK13" s="21">
        <f t="shared" si="10"/>
        <v>45716</v>
      </c>
      <c r="AL13" s="21">
        <f t="shared" si="10"/>
        <v>45747</v>
      </c>
      <c r="AM13" s="21">
        <f t="shared" si="10"/>
        <v>45777</v>
      </c>
      <c r="AN13" s="21">
        <f t="shared" si="10"/>
        <v>45808</v>
      </c>
      <c r="AO13" s="21">
        <f t="shared" si="10"/>
        <v>45838</v>
      </c>
      <c r="AP13" s="21">
        <f t="shared" si="10"/>
        <v>45869</v>
      </c>
      <c r="AQ13" s="21">
        <f t="shared" si="10"/>
        <v>45900</v>
      </c>
      <c r="AR13" s="21">
        <f t="shared" si="10"/>
        <v>45930</v>
      </c>
      <c r="AS13" s="21">
        <f t="shared" si="10"/>
        <v>45961</v>
      </c>
      <c r="AT13" s="21">
        <f t="shared" si="10"/>
        <v>45991</v>
      </c>
      <c r="AU13" s="21">
        <f t="shared" si="10"/>
        <v>46022</v>
      </c>
      <c r="AW13" s="21">
        <f t="shared" ref="AW13:BD13" si="11">AW11</f>
        <v>45382</v>
      </c>
      <c r="AX13" s="21">
        <f t="shared" si="11"/>
        <v>45473</v>
      </c>
      <c r="AY13" s="21">
        <f t="shared" si="11"/>
        <v>45565</v>
      </c>
      <c r="AZ13" s="21">
        <f t="shared" si="11"/>
        <v>45657</v>
      </c>
      <c r="BA13" s="21">
        <f t="shared" si="11"/>
        <v>45747</v>
      </c>
      <c r="BB13" s="21">
        <f t="shared" si="11"/>
        <v>45838</v>
      </c>
      <c r="BC13" s="21">
        <f t="shared" si="11"/>
        <v>45930</v>
      </c>
      <c r="BD13" s="21">
        <f t="shared" si="11"/>
        <v>46022</v>
      </c>
      <c r="BF13" s="21">
        <f>BF11</f>
        <v>45657</v>
      </c>
      <c r="BG13" s="21">
        <f>BG11</f>
        <v>46022</v>
      </c>
      <c r="BH13" s="21">
        <f>BH11</f>
        <v>46387</v>
      </c>
      <c r="BI13" s="21">
        <f>BI11</f>
        <v>46752</v>
      </c>
      <c r="BJ13" s="21">
        <f>BJ11</f>
        <v>47118</v>
      </c>
    </row>
    <row r="14" spans="2:62" x14ac:dyDescent="0.2">
      <c r="C14" s="22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W14" s="10"/>
      <c r="AX14" s="10"/>
      <c r="AY14" s="10"/>
      <c r="AZ14" s="10"/>
      <c r="BA14" s="10"/>
      <c r="BB14" s="10"/>
      <c r="BC14" s="10"/>
      <c r="BD14" s="10"/>
      <c r="BF14" s="10"/>
      <c r="BG14" s="10"/>
      <c r="BH14" s="10"/>
      <c r="BI14" s="10"/>
      <c r="BJ14" s="10"/>
    </row>
    <row r="15" spans="2:62" x14ac:dyDescent="0.2">
      <c r="C15" s="35" t="s">
        <v>45</v>
      </c>
      <c r="D15" s="36"/>
      <c r="E15" s="36"/>
      <c r="F15" s="154">
        <f>'Key Assumptions + Summary'!$E$7</f>
        <v>1.35</v>
      </c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W15" s="10"/>
      <c r="AX15" s="10"/>
      <c r="AY15" s="10"/>
      <c r="AZ15" s="10"/>
      <c r="BA15" s="10"/>
      <c r="BB15" s="10"/>
      <c r="BC15" s="10"/>
      <c r="BD15" s="10"/>
      <c r="BF15" s="10"/>
      <c r="BG15" s="10"/>
      <c r="BH15" s="10"/>
      <c r="BI15" s="10"/>
      <c r="BJ15" s="10"/>
    </row>
    <row r="16" spans="2:62" x14ac:dyDescent="0.2">
      <c r="C16" s="22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W16" s="10"/>
      <c r="AX16" s="10"/>
      <c r="AY16" s="10"/>
      <c r="AZ16" s="10"/>
      <c r="BA16" s="10"/>
      <c r="BB16" s="10"/>
      <c r="BC16" s="10"/>
      <c r="BD16" s="10"/>
      <c r="BF16" s="10"/>
      <c r="BG16" s="10"/>
      <c r="BH16" s="10"/>
      <c r="BI16" s="10"/>
      <c r="BJ16" s="10"/>
    </row>
    <row r="17" spans="3:63" x14ac:dyDescent="0.2">
      <c r="C17" s="48" t="s">
        <v>75</v>
      </c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W17" s="49"/>
      <c r="AX17" s="49"/>
      <c r="AY17" s="49"/>
      <c r="AZ17" s="49"/>
      <c r="BA17" s="49"/>
      <c r="BB17" s="49"/>
      <c r="BC17" s="49"/>
      <c r="BD17" s="49"/>
      <c r="BF17" s="49"/>
      <c r="BG17" s="49"/>
      <c r="BH17" s="49"/>
      <c r="BI17" s="49"/>
      <c r="BJ17" s="49"/>
    </row>
    <row r="18" spans="3:63" x14ac:dyDescent="0.2">
      <c r="C18" s="22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W18" s="10"/>
      <c r="AX18" s="10"/>
      <c r="AY18" s="10"/>
      <c r="AZ18" s="10"/>
      <c r="BA18" s="10"/>
      <c r="BB18" s="10"/>
      <c r="BC18" s="10"/>
      <c r="BD18" s="10"/>
      <c r="BF18" s="10"/>
      <c r="BG18" s="10"/>
      <c r="BH18" s="10"/>
      <c r="BI18" s="10"/>
      <c r="BJ18" s="10"/>
    </row>
    <row r="19" spans="3:63" x14ac:dyDescent="0.2">
      <c r="C19" s="110" t="s">
        <v>13</v>
      </c>
      <c r="D19" s="111"/>
      <c r="E19" s="111"/>
      <c r="F19" s="111"/>
      <c r="G19" s="111"/>
      <c r="H19" s="111"/>
      <c r="I19" s="111"/>
      <c r="J19" s="111"/>
      <c r="K19" s="111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W19" s="111"/>
      <c r="AX19" s="111"/>
      <c r="AY19" s="111"/>
      <c r="AZ19" s="111"/>
      <c r="BA19" s="111"/>
      <c r="BB19" s="111"/>
      <c r="BC19" s="111"/>
      <c r="BD19" s="111"/>
      <c r="BF19" s="111"/>
      <c r="BG19" s="111"/>
      <c r="BH19" s="111"/>
      <c r="BI19" s="111"/>
      <c r="BJ19" s="111"/>
    </row>
    <row r="20" spans="3:63" x14ac:dyDescent="0.2">
      <c r="C20" s="22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W20" s="10"/>
      <c r="AX20" s="10"/>
      <c r="AY20" s="10"/>
      <c r="AZ20" s="10"/>
      <c r="BA20" s="10"/>
      <c r="BB20" s="10"/>
      <c r="BC20" s="10"/>
      <c r="BD20" s="10"/>
      <c r="BF20" s="10"/>
      <c r="BG20" s="10"/>
      <c r="BH20" s="10"/>
      <c r="BI20" s="10"/>
      <c r="BJ20" s="10"/>
    </row>
    <row r="21" spans="3:63" ht="15" x14ac:dyDescent="0.35">
      <c r="C21" s="29" t="s">
        <v>104</v>
      </c>
      <c r="E21" s="10"/>
      <c r="F21" s="10"/>
      <c r="G21" s="10"/>
      <c r="H21" s="69" t="s">
        <v>31</v>
      </c>
      <c r="I21" s="10"/>
      <c r="J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W21" s="10"/>
      <c r="AX21" s="10"/>
      <c r="AY21" s="10"/>
      <c r="AZ21" s="10"/>
      <c r="BA21" s="10"/>
      <c r="BB21" s="10"/>
      <c r="BC21" s="10"/>
      <c r="BD21" s="10"/>
      <c r="BF21" s="10"/>
      <c r="BG21" s="10"/>
      <c r="BH21" s="10"/>
      <c r="BI21" s="10"/>
      <c r="BJ21" s="10"/>
    </row>
    <row r="22" spans="3:63" x14ac:dyDescent="0.2">
      <c r="C22" s="23" t="s">
        <v>76</v>
      </c>
      <c r="E22" s="10"/>
      <c r="F22" s="10"/>
      <c r="G22" s="10"/>
      <c r="H22" s="283">
        <f>'Key Assumptions + Summary'!D13</f>
        <v>45322</v>
      </c>
      <c r="I22" s="10"/>
      <c r="J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W22" s="24">
        <f t="shared" ref="AW22:BD24" si="12">IF($H22&lt;=AW$13,1,0)</f>
        <v>1</v>
      </c>
      <c r="AX22" s="24">
        <f t="shared" si="12"/>
        <v>1</v>
      </c>
      <c r="AY22" s="24">
        <f t="shared" si="12"/>
        <v>1</v>
      </c>
      <c r="AZ22" s="24">
        <f t="shared" si="12"/>
        <v>1</v>
      </c>
      <c r="BA22" s="24">
        <f t="shared" si="12"/>
        <v>1</v>
      </c>
      <c r="BB22" s="24">
        <f t="shared" si="12"/>
        <v>1</v>
      </c>
      <c r="BC22" s="24">
        <f t="shared" si="12"/>
        <v>1</v>
      </c>
      <c r="BD22" s="24">
        <f t="shared" si="12"/>
        <v>1</v>
      </c>
      <c r="BF22" s="136">
        <f>AZ22</f>
        <v>1</v>
      </c>
      <c r="BG22" s="136">
        <f>BD22</f>
        <v>1</v>
      </c>
      <c r="BH22" s="24">
        <f t="shared" ref="BH22:BJ24" si="13">IF($H22&lt;=BH$13,1,0)</f>
        <v>1</v>
      </c>
      <c r="BI22" s="24">
        <f t="shared" si="13"/>
        <v>1</v>
      </c>
      <c r="BJ22" s="24">
        <f t="shared" si="13"/>
        <v>1</v>
      </c>
    </row>
    <row r="23" spans="3:63" x14ac:dyDescent="0.2">
      <c r="C23" s="23" t="s">
        <v>77</v>
      </c>
      <c r="E23" s="10"/>
      <c r="F23" s="10"/>
      <c r="G23" s="10"/>
      <c r="H23" s="283">
        <f>'Key Assumptions + Summary'!D14</f>
        <v>45322</v>
      </c>
      <c r="I23" s="10"/>
      <c r="J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W23" s="24">
        <f t="shared" si="12"/>
        <v>1</v>
      </c>
      <c r="AX23" s="24">
        <f t="shared" si="12"/>
        <v>1</v>
      </c>
      <c r="AY23" s="24">
        <f t="shared" si="12"/>
        <v>1</v>
      </c>
      <c r="AZ23" s="24">
        <f t="shared" si="12"/>
        <v>1</v>
      </c>
      <c r="BA23" s="24">
        <f t="shared" si="12"/>
        <v>1</v>
      </c>
      <c r="BB23" s="24">
        <f t="shared" si="12"/>
        <v>1</v>
      </c>
      <c r="BC23" s="24">
        <f t="shared" si="12"/>
        <v>1</v>
      </c>
      <c r="BD23" s="24">
        <f t="shared" si="12"/>
        <v>1</v>
      </c>
      <c r="BF23" s="136">
        <f>AZ23</f>
        <v>1</v>
      </c>
      <c r="BG23" s="136">
        <f>BD23</f>
        <v>1</v>
      </c>
      <c r="BH23" s="24">
        <f t="shared" si="13"/>
        <v>1</v>
      </c>
      <c r="BI23" s="24">
        <f t="shared" si="13"/>
        <v>1</v>
      </c>
      <c r="BJ23" s="24">
        <f t="shared" si="13"/>
        <v>1</v>
      </c>
    </row>
    <row r="24" spans="3:63" x14ac:dyDescent="0.2">
      <c r="C24" s="23" t="s">
        <v>78</v>
      </c>
      <c r="E24" s="10"/>
      <c r="F24" s="10"/>
      <c r="G24" s="10"/>
      <c r="H24" s="283">
        <f>'Key Assumptions + Summary'!D15</f>
        <v>45322</v>
      </c>
      <c r="I24" s="10"/>
      <c r="J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W24" s="24">
        <f t="shared" si="12"/>
        <v>1</v>
      </c>
      <c r="AX24" s="24">
        <f t="shared" si="12"/>
        <v>1</v>
      </c>
      <c r="AY24" s="24">
        <f t="shared" si="12"/>
        <v>1</v>
      </c>
      <c r="AZ24" s="24">
        <f t="shared" si="12"/>
        <v>1</v>
      </c>
      <c r="BA24" s="24">
        <f t="shared" si="12"/>
        <v>1</v>
      </c>
      <c r="BB24" s="24">
        <f t="shared" si="12"/>
        <v>1</v>
      </c>
      <c r="BC24" s="24">
        <f t="shared" si="12"/>
        <v>1</v>
      </c>
      <c r="BD24" s="24">
        <f t="shared" si="12"/>
        <v>1</v>
      </c>
      <c r="BF24" s="136">
        <f>AZ24</f>
        <v>1</v>
      </c>
      <c r="BG24" s="136">
        <f>BD24</f>
        <v>1</v>
      </c>
      <c r="BH24" s="24">
        <f t="shared" si="13"/>
        <v>1</v>
      </c>
      <c r="BI24" s="24">
        <f t="shared" si="13"/>
        <v>1</v>
      </c>
      <c r="BJ24" s="24">
        <f t="shared" si="13"/>
        <v>1</v>
      </c>
    </row>
    <row r="25" spans="3:63" x14ac:dyDescent="0.2">
      <c r="C25" s="23" t="s">
        <v>124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W25" s="70" t="s">
        <v>23</v>
      </c>
      <c r="AX25" s="70" t="s">
        <v>23</v>
      </c>
      <c r="AY25" s="70">
        <f>AZ25/2</f>
        <v>1</v>
      </c>
      <c r="AZ25" s="162">
        <f>'Key Assumptions + Summary'!$D$16</f>
        <v>2</v>
      </c>
      <c r="BA25" s="161">
        <f>$BD$25*0.3</f>
        <v>1.5</v>
      </c>
      <c r="BB25" s="161">
        <f>$BD$25*0.5</f>
        <v>2.5</v>
      </c>
      <c r="BC25" s="161">
        <f>$BD$25*0.75</f>
        <v>3.75</v>
      </c>
      <c r="BD25" s="162">
        <f>'Key Assumptions + Summary'!E16</f>
        <v>5</v>
      </c>
      <c r="BF25" s="136">
        <f>AZ25</f>
        <v>2</v>
      </c>
      <c r="BG25" s="136">
        <f>BD25</f>
        <v>5</v>
      </c>
      <c r="BH25" s="162">
        <f>'Key Assumptions + Summary'!$F$16</f>
        <v>10</v>
      </c>
      <c r="BI25" s="162">
        <f>'Key Assumptions + Summary'!$G$16</f>
        <v>25</v>
      </c>
      <c r="BJ25" s="162">
        <f>'Key Assumptions + Summary'!$H$16</f>
        <v>40</v>
      </c>
      <c r="BK25" s="107"/>
    </row>
    <row r="26" spans="3:63" x14ac:dyDescent="0.2">
      <c r="C26" s="26" t="s">
        <v>105</v>
      </c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W26" s="25">
        <f t="shared" ref="AW26:BD26" si="14">SUM(AW22:AW25)</f>
        <v>3</v>
      </c>
      <c r="AX26" s="25">
        <f t="shared" si="14"/>
        <v>3</v>
      </c>
      <c r="AY26" s="25">
        <f t="shared" si="14"/>
        <v>4</v>
      </c>
      <c r="AZ26" s="25">
        <f t="shared" si="14"/>
        <v>5</v>
      </c>
      <c r="BA26" s="25">
        <f t="shared" si="14"/>
        <v>4.5</v>
      </c>
      <c r="BB26" s="25">
        <f t="shared" si="14"/>
        <v>5.5</v>
      </c>
      <c r="BC26" s="25">
        <f t="shared" si="14"/>
        <v>6.75</v>
      </c>
      <c r="BD26" s="25">
        <f t="shared" si="14"/>
        <v>8</v>
      </c>
      <c r="BF26" s="25">
        <f>SUM(BF21:BF25)</f>
        <v>5</v>
      </c>
      <c r="BG26" s="25">
        <f>SUM(BG21:BG25)</f>
        <v>8</v>
      </c>
      <c r="BH26" s="25">
        <f>SUM(BH22:BH25)</f>
        <v>13</v>
      </c>
      <c r="BI26" s="25">
        <f>SUM(BI22:BI25)</f>
        <v>28</v>
      </c>
      <c r="BJ26" s="25">
        <f>SUM(BJ22:BJ25)</f>
        <v>43</v>
      </c>
    </row>
    <row r="27" spans="3:63" x14ac:dyDescent="0.2">
      <c r="C27" s="22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W27" s="10"/>
      <c r="AX27" s="10"/>
      <c r="AY27" s="10"/>
      <c r="AZ27" s="10"/>
      <c r="BA27" s="10"/>
      <c r="BB27" s="10"/>
      <c r="BC27" s="10"/>
      <c r="BD27" s="10"/>
      <c r="BF27" s="10"/>
      <c r="BG27" s="10"/>
      <c r="BH27" s="10"/>
      <c r="BI27" s="10"/>
      <c r="BJ27" s="10"/>
      <c r="BK27" s="106"/>
    </row>
    <row r="28" spans="3:63" x14ac:dyDescent="0.2">
      <c r="C28" s="29" t="s">
        <v>107</v>
      </c>
      <c r="D28" s="10"/>
      <c r="E28" s="10"/>
      <c r="F28" s="10"/>
      <c r="G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W28" s="10"/>
      <c r="AX28" s="10"/>
      <c r="AY28" s="10"/>
      <c r="AZ28" s="10"/>
      <c r="BA28" s="10"/>
      <c r="BB28" s="10"/>
      <c r="BC28" s="10"/>
      <c r="BD28" s="10"/>
      <c r="BF28" s="10"/>
      <c r="BG28" s="10"/>
      <c r="BH28" s="10"/>
      <c r="BI28" s="10"/>
      <c r="BJ28" s="10"/>
    </row>
    <row r="29" spans="3:63" x14ac:dyDescent="0.2">
      <c r="C29" s="23" t="s">
        <v>121</v>
      </c>
      <c r="D29" s="10"/>
      <c r="E29" s="10"/>
      <c r="F29" s="10"/>
      <c r="G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W29" s="112">
        <f>AX29/2</f>
        <v>1.9125000000000001</v>
      </c>
      <c r="AX29" s="112">
        <f>AY29/2</f>
        <v>3.8250000000000002</v>
      </c>
      <c r="AY29" s="112">
        <f>$BB$29*(0.255)</f>
        <v>7.65</v>
      </c>
      <c r="AZ29" s="112">
        <f>$BB$29*(0.5)</f>
        <v>15</v>
      </c>
      <c r="BA29" s="112">
        <f>$BB$29*(0.75)</f>
        <v>22.5</v>
      </c>
      <c r="BB29" s="156">
        <f>'Key Assumptions + Summary'!$D$18</f>
        <v>30</v>
      </c>
      <c r="BC29" s="156">
        <f>'Key Assumptions + Summary'!$D$18</f>
        <v>30</v>
      </c>
      <c r="BD29" s="156">
        <f>'Key Assumptions + Summary'!$D$18</f>
        <v>30</v>
      </c>
      <c r="BE29" s="113"/>
      <c r="BF29" s="113"/>
      <c r="BG29" s="113" t="s">
        <v>27</v>
      </c>
      <c r="BH29" s="156">
        <f>'Key Assumptions + Summary'!$D$18</f>
        <v>30</v>
      </c>
      <c r="BI29" s="156">
        <f>'Key Assumptions + Summary'!$D$18</f>
        <v>30</v>
      </c>
      <c r="BJ29" s="156">
        <f>'Key Assumptions + Summary'!$D$18</f>
        <v>30</v>
      </c>
    </row>
    <row r="30" spans="3:63" x14ac:dyDescent="0.2">
      <c r="C30" s="23" t="s">
        <v>122</v>
      </c>
      <c r="D30" s="10"/>
      <c r="E30" s="10"/>
      <c r="F30" s="10"/>
      <c r="G30" s="30" t="s">
        <v>110</v>
      </c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W30" s="24">
        <f t="shared" ref="AW30:BD30" si="15">AW29*3</f>
        <v>5.7375000000000007</v>
      </c>
      <c r="AX30" s="24">
        <f t="shared" si="15"/>
        <v>11.475000000000001</v>
      </c>
      <c r="AY30" s="24">
        <f t="shared" si="15"/>
        <v>22.950000000000003</v>
      </c>
      <c r="AZ30" s="24">
        <f t="shared" si="15"/>
        <v>45</v>
      </c>
      <c r="BA30" s="24">
        <f t="shared" si="15"/>
        <v>67.5</v>
      </c>
      <c r="BB30" s="24">
        <f t="shared" si="15"/>
        <v>90</v>
      </c>
      <c r="BC30" s="24">
        <f t="shared" si="15"/>
        <v>90</v>
      </c>
      <c r="BD30" s="24">
        <f t="shared" si="15"/>
        <v>90</v>
      </c>
      <c r="BF30" s="10"/>
      <c r="BG30" s="10"/>
      <c r="BH30" s="24">
        <f>BH29*12</f>
        <v>360</v>
      </c>
      <c r="BI30" s="24">
        <f>BI29*12</f>
        <v>360</v>
      </c>
      <c r="BJ30" s="24">
        <f>BJ29*12</f>
        <v>360</v>
      </c>
    </row>
    <row r="31" spans="3:63" x14ac:dyDescent="0.2">
      <c r="C31" s="26" t="s">
        <v>429</v>
      </c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W31" s="25">
        <f t="shared" ref="AW31:BD31" si="16">AW30*AW26</f>
        <v>17.212500000000002</v>
      </c>
      <c r="AX31" s="25">
        <f t="shared" si="16"/>
        <v>34.425000000000004</v>
      </c>
      <c r="AY31" s="25">
        <f t="shared" si="16"/>
        <v>91.800000000000011</v>
      </c>
      <c r="AZ31" s="25">
        <f t="shared" si="16"/>
        <v>225</v>
      </c>
      <c r="BA31" s="25">
        <f t="shared" si="16"/>
        <v>303.75</v>
      </c>
      <c r="BB31" s="25">
        <f t="shared" si="16"/>
        <v>495</v>
      </c>
      <c r="BC31" s="25">
        <f t="shared" si="16"/>
        <v>607.5</v>
      </c>
      <c r="BD31" s="25">
        <f t="shared" si="16"/>
        <v>720</v>
      </c>
      <c r="BF31" s="25">
        <f>SUMIFS($AW31:$BD31,$AW$11:$BD$11,"&gt;"&amp;BE$11,$AW$11:$BD$11,"&lt;="&amp;BF$11)</f>
        <v>368.4375</v>
      </c>
      <c r="BG31" s="25">
        <f>SUMIFS($AW31:$BD31,$AW$11:$BD$11,"&gt;"&amp;BF$11,$AW$11:$BD$11,"&lt;="&amp;BG$11)</f>
        <v>2126.25</v>
      </c>
      <c r="BH31" s="25">
        <f>BH30*AVERAGE(BG26,BH26)</f>
        <v>3780</v>
      </c>
      <c r="BI31" s="25">
        <f>BI30*AVERAGE(BH26,BI26)</f>
        <v>7380</v>
      </c>
      <c r="BJ31" s="25">
        <f>BJ30*AVERAGE(BI26,BJ26)</f>
        <v>12780</v>
      </c>
    </row>
    <row r="32" spans="3:63" x14ac:dyDescent="0.2">
      <c r="C32" s="22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W32" s="60"/>
      <c r="AX32" s="60"/>
      <c r="AY32" s="60"/>
      <c r="AZ32" s="60"/>
      <c r="BA32" s="60"/>
      <c r="BB32" s="60"/>
      <c r="BC32" s="60"/>
      <c r="BD32" s="60"/>
      <c r="BF32" s="10"/>
      <c r="BG32" s="10"/>
      <c r="BH32" s="60"/>
      <c r="BI32" s="60"/>
      <c r="BJ32" s="60"/>
    </row>
    <row r="33" spans="3:63" x14ac:dyDescent="0.2">
      <c r="C33" s="29" t="s">
        <v>107</v>
      </c>
      <c r="D33" s="10"/>
      <c r="E33" s="10"/>
      <c r="F33" s="10"/>
      <c r="G33" s="30"/>
      <c r="H33" s="16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W33" s="24"/>
      <c r="AX33" s="24"/>
      <c r="AY33" s="24"/>
      <c r="AZ33" s="24"/>
      <c r="BA33" s="24"/>
      <c r="BB33" s="24"/>
      <c r="BC33" s="24"/>
      <c r="BD33" s="24"/>
      <c r="BF33" s="10"/>
      <c r="BG33" s="10"/>
      <c r="BH33" s="24"/>
      <c r="BI33" s="24"/>
      <c r="BJ33" s="24"/>
    </row>
    <row r="34" spans="3:63" x14ac:dyDescent="0.2">
      <c r="C34" s="23" t="s">
        <v>108</v>
      </c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W34" s="157">
        <f>'Key Assumptions + Summary'!$D$19</f>
        <v>400</v>
      </c>
      <c r="AX34" s="157">
        <f>'Key Assumptions + Summary'!$D$19</f>
        <v>400</v>
      </c>
      <c r="AY34" s="157">
        <f>'Key Assumptions + Summary'!$D$19</f>
        <v>400</v>
      </c>
      <c r="AZ34" s="157">
        <f>'Key Assumptions + Summary'!$D$19</f>
        <v>400</v>
      </c>
      <c r="BA34" s="157">
        <f>'Key Assumptions + Summary'!$D$19</f>
        <v>400</v>
      </c>
      <c r="BB34" s="157">
        <f>'Key Assumptions + Summary'!$D$19</f>
        <v>400</v>
      </c>
      <c r="BC34" s="157">
        <f>'Key Assumptions + Summary'!$D$19</f>
        <v>400</v>
      </c>
      <c r="BD34" s="157">
        <f>'Key Assumptions + Summary'!$D$19</f>
        <v>400</v>
      </c>
      <c r="BF34" s="24"/>
      <c r="BG34" s="24"/>
      <c r="BH34" s="157">
        <f>'Key Assumptions + Summary'!$D$19</f>
        <v>400</v>
      </c>
      <c r="BI34" s="157">
        <f>'Key Assumptions + Summary'!$D$19</f>
        <v>400</v>
      </c>
      <c r="BJ34" s="157">
        <f>'Key Assumptions + Summary'!$D$19</f>
        <v>400</v>
      </c>
    </row>
    <row r="35" spans="3:63" x14ac:dyDescent="0.2">
      <c r="C35" s="23" t="s">
        <v>109</v>
      </c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W35" s="50">
        <f t="shared" ref="AW35:BD35" si="17">AW34*$F$15</f>
        <v>540</v>
      </c>
      <c r="AX35" s="50">
        <f t="shared" si="17"/>
        <v>540</v>
      </c>
      <c r="AY35" s="50">
        <f t="shared" si="17"/>
        <v>540</v>
      </c>
      <c r="AZ35" s="50">
        <f t="shared" si="17"/>
        <v>540</v>
      </c>
      <c r="BA35" s="50">
        <f t="shared" si="17"/>
        <v>540</v>
      </c>
      <c r="BB35" s="50">
        <f t="shared" si="17"/>
        <v>540</v>
      </c>
      <c r="BC35" s="50">
        <f t="shared" si="17"/>
        <v>540</v>
      </c>
      <c r="BD35" s="50">
        <f t="shared" si="17"/>
        <v>540</v>
      </c>
      <c r="BF35" s="10"/>
      <c r="BG35" s="10"/>
      <c r="BH35" s="50">
        <f>BH34*$F$15</f>
        <v>540</v>
      </c>
      <c r="BI35" s="50">
        <f>BI34*$F$15</f>
        <v>540</v>
      </c>
      <c r="BJ35" s="50">
        <f>BJ34*$F$15</f>
        <v>540</v>
      </c>
    </row>
    <row r="36" spans="3:63" x14ac:dyDescent="0.2">
      <c r="C36" s="43" t="s">
        <v>111</v>
      </c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W36" s="53">
        <f t="shared" ref="AW36:BD36" si="18">AW35*AW31</f>
        <v>9294.7500000000018</v>
      </c>
      <c r="AX36" s="53">
        <f t="shared" si="18"/>
        <v>18589.500000000004</v>
      </c>
      <c r="AY36" s="53">
        <f t="shared" si="18"/>
        <v>49572.000000000007</v>
      </c>
      <c r="AZ36" s="53">
        <f t="shared" si="18"/>
        <v>121500</v>
      </c>
      <c r="BA36" s="53">
        <f t="shared" si="18"/>
        <v>164025</v>
      </c>
      <c r="BB36" s="53">
        <f t="shared" si="18"/>
        <v>267300</v>
      </c>
      <c r="BC36" s="53">
        <f t="shared" si="18"/>
        <v>328050</v>
      </c>
      <c r="BD36" s="53">
        <f t="shared" si="18"/>
        <v>388800</v>
      </c>
      <c r="BF36" s="53">
        <f>SUMIFS($AW36:$BD36,$AW$11:$BD$11,"&gt;"&amp;BE$11,$AW$11:$BD$11,"&lt;="&amp;BF$11)</f>
        <v>198956.25</v>
      </c>
      <c r="BG36" s="53">
        <f>SUMIFS($AW36:$BD36,$AW$11:$BD$11,"&gt;"&amp;BF$11,$AW$11:$BD$11,"&lt;="&amp;BG$11)</f>
        <v>1148175</v>
      </c>
      <c r="BH36" s="53">
        <f>BH35*BH31</f>
        <v>2041200</v>
      </c>
      <c r="BI36" s="53">
        <f>BI35*BI31</f>
        <v>3985200</v>
      </c>
      <c r="BJ36" s="53">
        <f>BJ35*BJ31</f>
        <v>6901200</v>
      </c>
    </row>
    <row r="37" spans="3:63" x14ac:dyDescent="0.2">
      <c r="C37" s="22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W37" s="10"/>
      <c r="AX37" s="10"/>
      <c r="AY37" s="10"/>
      <c r="AZ37" s="10"/>
      <c r="BA37" s="10"/>
      <c r="BB37" s="10"/>
      <c r="BC37" s="10"/>
      <c r="BD37" s="10"/>
      <c r="BF37" s="10"/>
      <c r="BG37" s="10"/>
      <c r="BH37" s="10"/>
      <c r="BI37" s="10"/>
      <c r="BJ37" s="10"/>
    </row>
    <row r="38" spans="3:63" x14ac:dyDescent="0.2">
      <c r="C38" s="22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W38" s="10"/>
      <c r="AX38" s="10"/>
      <c r="AY38" s="10"/>
      <c r="AZ38" s="10"/>
      <c r="BA38" s="10"/>
      <c r="BB38" s="10"/>
      <c r="BC38" s="10"/>
      <c r="BD38" s="10"/>
      <c r="BF38" s="10"/>
      <c r="BG38" s="10"/>
      <c r="BH38" s="10"/>
      <c r="BI38" s="10"/>
      <c r="BJ38" s="10"/>
      <c r="BK38" s="106"/>
    </row>
    <row r="39" spans="3:63" x14ac:dyDescent="0.2">
      <c r="C39" s="110" t="s">
        <v>425</v>
      </c>
      <c r="D39" s="111"/>
      <c r="E39" s="111"/>
      <c r="F39" s="111"/>
      <c r="G39" s="111"/>
      <c r="H39" s="111"/>
      <c r="I39" s="111"/>
      <c r="J39" s="111"/>
      <c r="K39" s="111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W39" s="111"/>
      <c r="AX39" s="111"/>
      <c r="AY39" s="111"/>
      <c r="AZ39" s="111"/>
      <c r="BA39" s="111"/>
      <c r="BB39" s="111"/>
      <c r="BC39" s="111"/>
      <c r="BD39" s="111"/>
      <c r="BF39" s="111"/>
      <c r="BG39" s="111"/>
      <c r="BH39" s="111"/>
      <c r="BI39" s="111"/>
      <c r="BJ39" s="111"/>
    </row>
    <row r="40" spans="3:63" x14ac:dyDescent="0.2">
      <c r="C40" s="22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W40" s="10"/>
      <c r="AX40" s="10"/>
      <c r="AY40" s="10"/>
      <c r="AZ40" s="10"/>
      <c r="BA40" s="10"/>
      <c r="BB40" s="10"/>
      <c r="BC40" s="10"/>
      <c r="BD40" s="10"/>
      <c r="BF40" s="10"/>
      <c r="BG40" s="10"/>
      <c r="BH40" s="10"/>
      <c r="BI40" s="10"/>
      <c r="BJ40" s="10"/>
      <c r="BK40" s="106"/>
    </row>
    <row r="41" spans="3:63" ht="15" x14ac:dyDescent="0.35">
      <c r="C41" s="29" t="s">
        <v>83</v>
      </c>
      <c r="E41" s="10"/>
      <c r="F41" s="10"/>
      <c r="G41" s="10"/>
      <c r="H41" s="69" t="s">
        <v>31</v>
      </c>
      <c r="I41" s="10"/>
      <c r="J41" s="3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W41" s="10"/>
      <c r="AX41" s="10"/>
      <c r="AY41" s="10"/>
      <c r="AZ41" s="10"/>
      <c r="BA41" s="10"/>
      <c r="BB41" s="10"/>
      <c r="BC41" s="10"/>
      <c r="BD41" s="10"/>
      <c r="BF41" s="10"/>
      <c r="BG41" s="10"/>
      <c r="BH41" s="10"/>
      <c r="BI41" s="10"/>
      <c r="BJ41" s="10"/>
    </row>
    <row r="42" spans="3:63" x14ac:dyDescent="0.2">
      <c r="C42" s="23" t="s">
        <v>79</v>
      </c>
      <c r="E42" s="10"/>
      <c r="F42" s="10"/>
      <c r="G42" s="10"/>
      <c r="H42" s="283">
        <f>'Key Assumptions + Summary'!D23</f>
        <v>45322</v>
      </c>
      <c r="I42" s="10"/>
      <c r="J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W42" s="24">
        <f t="shared" ref="AW42:BD44" si="19">IF($H42&lt;=AW$13,1,0)</f>
        <v>1</v>
      </c>
      <c r="AX42" s="24">
        <f t="shared" si="19"/>
        <v>1</v>
      </c>
      <c r="AY42" s="24">
        <f t="shared" si="19"/>
        <v>1</v>
      </c>
      <c r="AZ42" s="24">
        <f t="shared" si="19"/>
        <v>1</v>
      </c>
      <c r="BA42" s="24">
        <f t="shared" si="19"/>
        <v>1</v>
      </c>
      <c r="BB42" s="24">
        <f t="shared" si="19"/>
        <v>1</v>
      </c>
      <c r="BC42" s="24">
        <f t="shared" si="19"/>
        <v>1</v>
      </c>
      <c r="BD42" s="24">
        <f t="shared" si="19"/>
        <v>1</v>
      </c>
      <c r="BF42" s="136">
        <f>AZ42</f>
        <v>1</v>
      </c>
      <c r="BG42" s="136">
        <f>BD42</f>
        <v>1</v>
      </c>
      <c r="BH42" s="24">
        <f t="shared" ref="BH42:BJ44" si="20">IF($H42&lt;=BH$13,1,0)</f>
        <v>1</v>
      </c>
      <c r="BI42" s="24">
        <f t="shared" si="20"/>
        <v>1</v>
      </c>
      <c r="BJ42" s="24">
        <f t="shared" si="20"/>
        <v>1</v>
      </c>
    </row>
    <row r="43" spans="3:63" x14ac:dyDescent="0.2">
      <c r="C43" s="23" t="s">
        <v>81</v>
      </c>
      <c r="E43" s="10"/>
      <c r="F43" s="10"/>
      <c r="G43" s="10"/>
      <c r="H43" s="283">
        <f>'Key Assumptions + Summary'!D24</f>
        <v>45322</v>
      </c>
      <c r="I43" s="10"/>
      <c r="J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W43" s="24">
        <f t="shared" si="19"/>
        <v>1</v>
      </c>
      <c r="AX43" s="24">
        <f t="shared" si="19"/>
        <v>1</v>
      </c>
      <c r="AY43" s="24">
        <f t="shared" si="19"/>
        <v>1</v>
      </c>
      <c r="AZ43" s="24">
        <f t="shared" si="19"/>
        <v>1</v>
      </c>
      <c r="BA43" s="24">
        <f t="shared" si="19"/>
        <v>1</v>
      </c>
      <c r="BB43" s="24">
        <f t="shared" si="19"/>
        <v>1</v>
      </c>
      <c r="BC43" s="24">
        <f t="shared" si="19"/>
        <v>1</v>
      </c>
      <c r="BD43" s="24">
        <f t="shared" si="19"/>
        <v>1</v>
      </c>
      <c r="BF43" s="136">
        <f>AZ43</f>
        <v>1</v>
      </c>
      <c r="BG43" s="136">
        <f>BD43</f>
        <v>1</v>
      </c>
      <c r="BH43" s="24">
        <f t="shared" si="20"/>
        <v>1</v>
      </c>
      <c r="BI43" s="24">
        <f t="shared" si="20"/>
        <v>1</v>
      </c>
      <c r="BJ43" s="24">
        <f t="shared" si="20"/>
        <v>1</v>
      </c>
    </row>
    <row r="44" spans="3:63" x14ac:dyDescent="0.2">
      <c r="C44" s="23" t="s">
        <v>80</v>
      </c>
      <c r="F44" s="23"/>
      <c r="H44" s="283">
        <f>'Key Assumptions + Summary'!D25</f>
        <v>45473</v>
      </c>
      <c r="I44" s="10"/>
      <c r="J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W44" s="24">
        <f t="shared" si="19"/>
        <v>0</v>
      </c>
      <c r="AX44" s="24">
        <f t="shared" si="19"/>
        <v>1</v>
      </c>
      <c r="AY44" s="24">
        <f t="shared" si="19"/>
        <v>1</v>
      </c>
      <c r="AZ44" s="24">
        <f t="shared" si="19"/>
        <v>1</v>
      </c>
      <c r="BA44" s="24">
        <f t="shared" si="19"/>
        <v>1</v>
      </c>
      <c r="BB44" s="24">
        <f t="shared" si="19"/>
        <v>1</v>
      </c>
      <c r="BC44" s="24">
        <f t="shared" si="19"/>
        <v>1</v>
      </c>
      <c r="BD44" s="24">
        <f t="shared" si="19"/>
        <v>1</v>
      </c>
      <c r="BF44" s="136">
        <f>AZ44</f>
        <v>1</v>
      </c>
      <c r="BG44" s="136">
        <f>BD44</f>
        <v>1</v>
      </c>
      <c r="BH44" s="24">
        <f t="shared" si="20"/>
        <v>1</v>
      </c>
      <c r="BI44" s="24">
        <f t="shared" si="20"/>
        <v>1</v>
      </c>
      <c r="BJ44" s="24">
        <f t="shared" si="20"/>
        <v>1</v>
      </c>
    </row>
    <row r="45" spans="3:63" x14ac:dyDescent="0.2">
      <c r="C45" s="23" t="s">
        <v>124</v>
      </c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W45" s="71">
        <v>0</v>
      </c>
      <c r="AX45" s="161">
        <f>AZ45*0.666</f>
        <v>1.3320000000000001</v>
      </c>
      <c r="AY45" s="163">
        <f>AZ45*0.83333</f>
        <v>1.66666</v>
      </c>
      <c r="AZ45" s="323">
        <f>'Key Assumptions + Summary'!D26</f>
        <v>2</v>
      </c>
      <c r="BA45" s="71">
        <f>BD45*0.5</f>
        <v>5</v>
      </c>
      <c r="BB45" s="161">
        <f>BD45*0.666</f>
        <v>6.66</v>
      </c>
      <c r="BC45" s="163">
        <f>BD45*0.83333</f>
        <v>8.3332999999999995</v>
      </c>
      <c r="BD45" s="162">
        <f>'Key Assumptions + Summary'!E26</f>
        <v>10</v>
      </c>
      <c r="BF45" s="136">
        <f>AZ45</f>
        <v>2</v>
      </c>
      <c r="BG45" s="136">
        <f>BD45</f>
        <v>10</v>
      </c>
      <c r="BH45" s="162">
        <f>'Key Assumptions + Summary'!F26</f>
        <v>25</v>
      </c>
      <c r="BI45" s="162">
        <f>'Key Assumptions + Summary'!G26</f>
        <v>55</v>
      </c>
      <c r="BJ45" s="162">
        <f>'Key Assumptions + Summary'!H26</f>
        <v>110</v>
      </c>
    </row>
    <row r="46" spans="3:63" x14ac:dyDescent="0.2">
      <c r="C46" s="26" t="s">
        <v>447</v>
      </c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W46" s="25">
        <f t="shared" ref="AW46:BD46" si="21">SUM(AW42:AW45)</f>
        <v>2</v>
      </c>
      <c r="AX46" s="25">
        <f t="shared" si="21"/>
        <v>4.3319999999999999</v>
      </c>
      <c r="AY46" s="25">
        <f t="shared" si="21"/>
        <v>4.6666600000000003</v>
      </c>
      <c r="AZ46" s="25">
        <f t="shared" si="21"/>
        <v>5</v>
      </c>
      <c r="BA46" s="25">
        <f t="shared" si="21"/>
        <v>8</v>
      </c>
      <c r="BB46" s="25">
        <f t="shared" si="21"/>
        <v>9.66</v>
      </c>
      <c r="BC46" s="25">
        <f t="shared" si="21"/>
        <v>11.333299999999999</v>
      </c>
      <c r="BD46" s="25">
        <f t="shared" si="21"/>
        <v>13</v>
      </c>
      <c r="BF46" s="25">
        <f>SUM(BF42:BF45)</f>
        <v>5</v>
      </c>
      <c r="BG46" s="25">
        <f>SUM(BG42:BG45)</f>
        <v>13</v>
      </c>
      <c r="BH46" s="25">
        <f>SUM(BH42:BH45)</f>
        <v>28</v>
      </c>
      <c r="BI46" s="25">
        <f>SUM(BI42:BI45)</f>
        <v>58</v>
      </c>
      <c r="BJ46" s="25">
        <f>SUM(BJ42:BJ45)</f>
        <v>113</v>
      </c>
    </row>
    <row r="47" spans="3:63" x14ac:dyDescent="0.2">
      <c r="C47" s="22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W47" s="10"/>
      <c r="AX47" s="10"/>
      <c r="AY47" s="10"/>
      <c r="AZ47" s="10"/>
      <c r="BA47" s="10"/>
      <c r="BB47" s="10"/>
      <c r="BC47" s="10"/>
      <c r="BD47" s="10"/>
      <c r="BF47" s="10"/>
      <c r="BG47" s="10"/>
      <c r="BH47" s="10"/>
      <c r="BI47" s="10"/>
      <c r="BJ47" s="10"/>
    </row>
    <row r="48" spans="3:63" x14ac:dyDescent="0.2">
      <c r="C48" s="29" t="s">
        <v>107</v>
      </c>
      <c r="D48" s="10"/>
      <c r="E48" s="10"/>
      <c r="F48" s="10"/>
      <c r="G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W48" s="10"/>
      <c r="AX48" s="10"/>
      <c r="AY48" s="10"/>
      <c r="AZ48" s="10"/>
      <c r="BA48" s="10"/>
      <c r="BB48" s="10"/>
      <c r="BC48" s="10"/>
      <c r="BD48" s="10"/>
      <c r="BF48" s="10"/>
      <c r="BG48" s="10"/>
      <c r="BH48" s="10"/>
      <c r="BI48" s="10"/>
      <c r="BJ48" s="10"/>
    </row>
    <row r="49" spans="3:62" x14ac:dyDescent="0.2">
      <c r="C49" s="23" t="s">
        <v>121</v>
      </c>
      <c r="D49" s="10"/>
      <c r="E49" s="10"/>
      <c r="F49" s="10"/>
      <c r="G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W49" s="112">
        <f>$BA$49*(0.255)</f>
        <v>17.850000000000001</v>
      </c>
      <c r="AX49" s="112">
        <f>$BA$49*(0.5)</f>
        <v>35</v>
      </c>
      <c r="AY49" s="112">
        <f>$BA$49*(0.5)</f>
        <v>35</v>
      </c>
      <c r="AZ49" s="112">
        <f>$BA$49*(0.75)</f>
        <v>52.5</v>
      </c>
      <c r="BA49" s="156">
        <f>'Key Assumptions + Summary'!$D$28</f>
        <v>70</v>
      </c>
      <c r="BB49" s="156">
        <f>'Key Assumptions + Summary'!$D$28</f>
        <v>70</v>
      </c>
      <c r="BC49" s="156">
        <f>'Key Assumptions + Summary'!$D$28</f>
        <v>70</v>
      </c>
      <c r="BD49" s="156">
        <f>'Key Assumptions + Summary'!$D$28</f>
        <v>70</v>
      </c>
      <c r="BE49" s="113"/>
      <c r="BF49" s="114">
        <f>BF51/BF46/12</f>
        <v>30.657655000000002</v>
      </c>
      <c r="BG49" s="114">
        <f>BG51/BG46/12</f>
        <v>56.529442307692314</v>
      </c>
      <c r="BH49" s="156">
        <f>'Key Assumptions + Summary'!$D$28</f>
        <v>70</v>
      </c>
      <c r="BI49" s="156">
        <f>'Key Assumptions + Summary'!$D$28</f>
        <v>70</v>
      </c>
      <c r="BJ49" s="156">
        <f>'Key Assumptions + Summary'!$D$28</f>
        <v>70</v>
      </c>
    </row>
    <row r="50" spans="3:62" x14ac:dyDescent="0.2">
      <c r="C50" s="23" t="s">
        <v>122</v>
      </c>
      <c r="D50" s="10"/>
      <c r="E50" s="10"/>
      <c r="F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W50" s="24">
        <f t="shared" ref="AW50:BD50" si="22">AW49*3</f>
        <v>53.550000000000004</v>
      </c>
      <c r="AX50" s="24">
        <f t="shared" si="22"/>
        <v>105</v>
      </c>
      <c r="AY50" s="24">
        <f t="shared" si="22"/>
        <v>105</v>
      </c>
      <c r="AZ50" s="24">
        <f t="shared" si="22"/>
        <v>157.5</v>
      </c>
      <c r="BA50" s="24">
        <f t="shared" si="22"/>
        <v>210</v>
      </c>
      <c r="BB50" s="24">
        <f t="shared" si="22"/>
        <v>210</v>
      </c>
      <c r="BC50" s="24">
        <f t="shared" si="22"/>
        <v>210</v>
      </c>
      <c r="BD50" s="24">
        <f t="shared" si="22"/>
        <v>210</v>
      </c>
      <c r="BF50" s="114">
        <f>BF51/BF46</f>
        <v>367.89186000000001</v>
      </c>
      <c r="BG50" s="114">
        <f>BG51/BG46</f>
        <v>678.35330769230779</v>
      </c>
      <c r="BH50" s="24">
        <f>BH49*12</f>
        <v>840</v>
      </c>
      <c r="BI50" s="24">
        <f>BI49*12</f>
        <v>840</v>
      </c>
      <c r="BJ50" s="24">
        <f>BJ49*12</f>
        <v>840</v>
      </c>
    </row>
    <row r="51" spans="3:62" x14ac:dyDescent="0.2">
      <c r="C51" s="26" t="s">
        <v>424</v>
      </c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W51" s="25">
        <f t="shared" ref="AW51:BD51" si="23">AW50*AW46</f>
        <v>107.10000000000001</v>
      </c>
      <c r="AX51" s="25">
        <f t="shared" si="23"/>
        <v>454.85999999999996</v>
      </c>
      <c r="AY51" s="25">
        <f t="shared" si="23"/>
        <v>489.99930000000001</v>
      </c>
      <c r="AZ51" s="25">
        <f t="shared" si="23"/>
        <v>787.5</v>
      </c>
      <c r="BA51" s="25">
        <f t="shared" si="23"/>
        <v>1680</v>
      </c>
      <c r="BB51" s="25">
        <f t="shared" si="23"/>
        <v>2028.6000000000001</v>
      </c>
      <c r="BC51" s="25">
        <f t="shared" si="23"/>
        <v>2379.9929999999999</v>
      </c>
      <c r="BD51" s="25">
        <f t="shared" si="23"/>
        <v>2730</v>
      </c>
      <c r="BF51" s="25">
        <f>SUMIFS($AW51:$BD51,$AW$11:$BD$11,"&gt;"&amp;BE$11,$AW$11:$BD$11,"&lt;="&amp;BF$11)</f>
        <v>1839.4593</v>
      </c>
      <c r="BG51" s="25">
        <f>SUMIFS($AW51:$BD51,$AW$11:$BD$11,"&gt;"&amp;BF$11,$AW$11:$BD$11,"&lt;="&amp;BG$11)</f>
        <v>8818.5930000000008</v>
      </c>
      <c r="BH51" s="25">
        <f>BH50*AVERAGE(BG46,BH46)</f>
        <v>17220</v>
      </c>
      <c r="BI51" s="25">
        <f>BI50*AVERAGE(BH46,BI46)</f>
        <v>36120</v>
      </c>
      <c r="BJ51" s="25">
        <f>BJ50*AVERAGE(BI46,BJ46)</f>
        <v>71820</v>
      </c>
    </row>
    <row r="52" spans="3:62" x14ac:dyDescent="0.2">
      <c r="C52" s="22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W52" s="60"/>
      <c r="AX52" s="60"/>
      <c r="AY52" s="60"/>
      <c r="AZ52" s="60"/>
      <c r="BA52" s="60"/>
      <c r="BB52" s="60"/>
      <c r="BC52" s="60"/>
      <c r="BD52" s="60"/>
      <c r="BF52" s="10"/>
      <c r="BG52" s="10"/>
      <c r="BH52" s="60"/>
      <c r="BI52" s="60"/>
      <c r="BJ52" s="60"/>
    </row>
    <row r="53" spans="3:62" x14ac:dyDescent="0.2">
      <c r="C53" s="29" t="s">
        <v>107</v>
      </c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W53" s="24"/>
      <c r="AX53" s="24"/>
      <c r="AY53" s="24"/>
      <c r="AZ53" s="24"/>
      <c r="BA53" s="24"/>
      <c r="BB53" s="24"/>
      <c r="BC53" s="24"/>
      <c r="BD53" s="24"/>
      <c r="BF53" s="10"/>
      <c r="BG53" s="10"/>
      <c r="BH53" s="24"/>
      <c r="BI53" s="24"/>
      <c r="BJ53" s="24"/>
    </row>
    <row r="54" spans="3:62" x14ac:dyDescent="0.2">
      <c r="C54" s="23" t="s">
        <v>108</v>
      </c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W54" s="157">
        <f>'Key Assumptions + Summary'!$D$29</f>
        <v>350</v>
      </c>
      <c r="AX54" s="157">
        <f>'Key Assumptions + Summary'!$D$29</f>
        <v>350</v>
      </c>
      <c r="AY54" s="157">
        <f>'Key Assumptions + Summary'!$D$29</f>
        <v>350</v>
      </c>
      <c r="AZ54" s="157">
        <f>'Key Assumptions + Summary'!$D$29</f>
        <v>350</v>
      </c>
      <c r="BA54" s="157">
        <f>'Key Assumptions + Summary'!$D$29</f>
        <v>350</v>
      </c>
      <c r="BB54" s="157">
        <f>'Key Assumptions + Summary'!$D$29</f>
        <v>350</v>
      </c>
      <c r="BC54" s="157">
        <f>'Key Assumptions + Summary'!$D$29</f>
        <v>350</v>
      </c>
      <c r="BD54" s="157">
        <f>'Key Assumptions + Summary'!$D$29</f>
        <v>350</v>
      </c>
      <c r="BF54" s="24"/>
      <c r="BG54" s="24"/>
      <c r="BH54" s="157">
        <f>'Key Assumptions + Summary'!$D$29</f>
        <v>350</v>
      </c>
      <c r="BI54" s="157">
        <f>'Key Assumptions + Summary'!$D$29</f>
        <v>350</v>
      </c>
      <c r="BJ54" s="157">
        <f>'Key Assumptions + Summary'!$D$29</f>
        <v>350</v>
      </c>
    </row>
    <row r="55" spans="3:62" x14ac:dyDescent="0.2">
      <c r="C55" s="23" t="s">
        <v>109</v>
      </c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W55" s="50">
        <f t="shared" ref="AW55:BD55" si="24">AW54*$F$15</f>
        <v>472.50000000000006</v>
      </c>
      <c r="AX55" s="50">
        <f t="shared" si="24"/>
        <v>472.50000000000006</v>
      </c>
      <c r="AY55" s="50">
        <f t="shared" si="24"/>
        <v>472.50000000000006</v>
      </c>
      <c r="AZ55" s="50">
        <f t="shared" si="24"/>
        <v>472.50000000000006</v>
      </c>
      <c r="BA55" s="50">
        <f t="shared" si="24"/>
        <v>472.50000000000006</v>
      </c>
      <c r="BB55" s="50">
        <f t="shared" si="24"/>
        <v>472.50000000000006</v>
      </c>
      <c r="BC55" s="50">
        <f t="shared" si="24"/>
        <v>472.50000000000006</v>
      </c>
      <c r="BD55" s="50">
        <f t="shared" si="24"/>
        <v>472.50000000000006</v>
      </c>
      <c r="BF55" s="10"/>
      <c r="BG55" s="115"/>
      <c r="BH55" s="50">
        <f>BH54*$F$15</f>
        <v>472.50000000000006</v>
      </c>
      <c r="BI55" s="50">
        <f>BI54*$F$15</f>
        <v>472.50000000000006</v>
      </c>
      <c r="BJ55" s="50">
        <f>BJ54*$F$15</f>
        <v>472.50000000000006</v>
      </c>
    </row>
    <row r="56" spans="3:62" x14ac:dyDescent="0.2">
      <c r="C56" s="43" t="s">
        <v>111</v>
      </c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W56" s="53">
        <f t="shared" ref="AW56:BD56" si="25">AW55*AW51</f>
        <v>50604.750000000007</v>
      </c>
      <c r="AX56" s="53">
        <f t="shared" si="25"/>
        <v>214921.35</v>
      </c>
      <c r="AY56" s="53">
        <f t="shared" si="25"/>
        <v>231524.66925000004</v>
      </c>
      <c r="AZ56" s="53">
        <f t="shared" si="25"/>
        <v>372093.75000000006</v>
      </c>
      <c r="BA56" s="53">
        <f t="shared" si="25"/>
        <v>793800.00000000012</v>
      </c>
      <c r="BB56" s="53">
        <f t="shared" si="25"/>
        <v>958513.50000000023</v>
      </c>
      <c r="BC56" s="53">
        <f t="shared" si="25"/>
        <v>1124546.6925000001</v>
      </c>
      <c r="BD56" s="53">
        <f t="shared" si="25"/>
        <v>1289925.0000000002</v>
      </c>
      <c r="BF56" s="53">
        <f>SUMIFS($AW56:$BD56,$AW$11:$BD$11,"&gt;"&amp;BE$11,$AW$11:$BD$11,"&lt;="&amp;BF$11)</f>
        <v>869144.51925000013</v>
      </c>
      <c r="BG56" s="53">
        <f>SUMIFS($AW56:$BD56,$AW$11:$BD$11,"&gt;"&amp;BF$11,$AW$11:$BD$11,"&lt;="&amp;BG$11)</f>
        <v>4166785.1925000008</v>
      </c>
      <c r="BH56" s="53">
        <f>BH55*BH51</f>
        <v>8136450.0000000009</v>
      </c>
      <c r="BI56" s="53">
        <f>BI55*BI51</f>
        <v>17066700.000000004</v>
      </c>
      <c r="BJ56" s="53">
        <f>BJ55*BJ51</f>
        <v>33934950.000000007</v>
      </c>
    </row>
    <row r="57" spans="3:62" x14ac:dyDescent="0.2">
      <c r="C57" s="22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W57" s="10"/>
      <c r="AX57" s="10"/>
      <c r="AY57" s="10"/>
      <c r="AZ57" s="10"/>
      <c r="BA57" s="10"/>
      <c r="BB57" s="10"/>
      <c r="BC57" s="10"/>
      <c r="BD57" s="10"/>
      <c r="BF57" s="10"/>
      <c r="BG57" s="10"/>
      <c r="BH57" s="10"/>
      <c r="BI57" s="10"/>
      <c r="BJ57" s="10"/>
    </row>
    <row r="58" spans="3:62" x14ac:dyDescent="0.2">
      <c r="C58" s="22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W58" s="10"/>
      <c r="AX58" s="10"/>
      <c r="AY58" s="10"/>
      <c r="AZ58" s="10"/>
      <c r="BA58" s="10"/>
      <c r="BB58" s="10"/>
      <c r="BC58" s="10"/>
      <c r="BD58" s="10"/>
      <c r="BF58" s="10"/>
      <c r="BG58" s="10"/>
      <c r="BH58" s="10"/>
      <c r="BI58" s="10"/>
      <c r="BJ58" s="10"/>
    </row>
    <row r="59" spans="3:62" x14ac:dyDescent="0.2">
      <c r="C59" s="110" t="s">
        <v>149</v>
      </c>
      <c r="D59" s="111"/>
      <c r="E59" s="111"/>
      <c r="F59" s="111"/>
      <c r="G59" s="111"/>
      <c r="H59" s="111"/>
      <c r="I59" s="111"/>
      <c r="J59" s="111"/>
      <c r="K59" s="111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W59" s="111"/>
      <c r="AX59" s="111"/>
      <c r="AY59" s="111"/>
      <c r="AZ59" s="111"/>
      <c r="BA59" s="111"/>
      <c r="BB59" s="111"/>
      <c r="BC59" s="111"/>
      <c r="BD59" s="111"/>
      <c r="BF59" s="111"/>
      <c r="BG59" s="111"/>
      <c r="BH59" s="111"/>
      <c r="BI59" s="111"/>
      <c r="BJ59" s="111"/>
    </row>
    <row r="60" spans="3:62" x14ac:dyDescent="0.2">
      <c r="C60" s="22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W60" s="10"/>
      <c r="AX60" s="10"/>
      <c r="AY60" s="10"/>
      <c r="AZ60" s="10"/>
      <c r="BA60" s="10"/>
      <c r="BB60" s="10"/>
      <c r="BC60" s="10"/>
      <c r="BD60" s="10"/>
      <c r="BF60" s="10"/>
      <c r="BG60" s="10"/>
      <c r="BH60" s="10"/>
      <c r="BI60" s="10"/>
      <c r="BJ60" s="10"/>
    </row>
    <row r="61" spans="3:62" x14ac:dyDescent="0.2">
      <c r="C61" s="72" t="s">
        <v>106</v>
      </c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W61" s="73">
        <f t="shared" ref="AW61:BD61" si="26">SUM(AW26,AW46)</f>
        <v>5</v>
      </c>
      <c r="AX61" s="73">
        <f t="shared" si="26"/>
        <v>7.3319999999999999</v>
      </c>
      <c r="AY61" s="73">
        <f t="shared" si="26"/>
        <v>8.6666600000000003</v>
      </c>
      <c r="AZ61" s="73">
        <f t="shared" si="26"/>
        <v>10</v>
      </c>
      <c r="BA61" s="73">
        <f t="shared" si="26"/>
        <v>12.5</v>
      </c>
      <c r="BB61" s="73">
        <f t="shared" si="26"/>
        <v>15.16</v>
      </c>
      <c r="BC61" s="73">
        <f t="shared" si="26"/>
        <v>18.083300000000001</v>
      </c>
      <c r="BD61" s="73">
        <f t="shared" si="26"/>
        <v>21</v>
      </c>
      <c r="BF61" s="73">
        <f>SUM(BF26,BF46)</f>
        <v>10</v>
      </c>
      <c r="BG61" s="73">
        <f>SUM(BG26,BG46)</f>
        <v>21</v>
      </c>
      <c r="BH61" s="73">
        <f>SUM(BH26,BH46)</f>
        <v>41</v>
      </c>
      <c r="BI61" s="73">
        <f>SUM(BI26,BI46)</f>
        <v>86</v>
      </c>
      <c r="BJ61" s="73">
        <f>SUM(BJ26,BJ46)</f>
        <v>156</v>
      </c>
    </row>
    <row r="62" spans="3:62" x14ac:dyDescent="0.2">
      <c r="C62" s="22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W62" s="10"/>
      <c r="AX62" s="10"/>
      <c r="AY62" s="10"/>
      <c r="AZ62" s="10"/>
      <c r="BA62" s="10"/>
      <c r="BB62" s="10"/>
      <c r="BC62" s="10"/>
      <c r="BD62" s="10"/>
      <c r="BF62" s="10"/>
      <c r="BG62" s="10"/>
      <c r="BH62" s="10"/>
      <c r="BI62" s="10"/>
      <c r="BJ62" s="10"/>
    </row>
    <row r="63" spans="3:62" x14ac:dyDescent="0.2">
      <c r="C63" s="29" t="s">
        <v>107</v>
      </c>
      <c r="D63" s="10"/>
      <c r="E63" s="10"/>
      <c r="F63" s="10"/>
      <c r="G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W63" s="10"/>
      <c r="AX63" s="10"/>
      <c r="AY63" s="10"/>
      <c r="AZ63" s="10"/>
      <c r="BA63" s="10"/>
      <c r="BB63" s="10"/>
      <c r="BC63" s="10"/>
      <c r="BD63" s="10"/>
      <c r="BF63" s="10"/>
      <c r="BG63" s="10"/>
      <c r="BH63" s="10"/>
      <c r="BI63" s="10"/>
      <c r="BJ63" s="10"/>
    </row>
    <row r="64" spans="3:62" x14ac:dyDescent="0.2">
      <c r="C64" s="23" t="s">
        <v>121</v>
      </c>
      <c r="D64" s="10"/>
      <c r="E64" s="10"/>
      <c r="F64" s="10"/>
      <c r="G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W64" s="24">
        <f t="shared" ref="AW64:BD64" si="27">AW65/3</f>
        <v>8.2875000000000014</v>
      </c>
      <c r="AX64" s="24">
        <f t="shared" si="27"/>
        <v>22.244271685761046</v>
      </c>
      <c r="AY64" s="24">
        <f t="shared" si="27"/>
        <v>22.376913366856439</v>
      </c>
      <c r="AZ64" s="24">
        <f t="shared" si="27"/>
        <v>33.75</v>
      </c>
      <c r="BA64" s="24">
        <f t="shared" si="27"/>
        <v>52.9</v>
      </c>
      <c r="BB64" s="24">
        <f t="shared" si="27"/>
        <v>55.48812664907652</v>
      </c>
      <c r="BC64" s="24">
        <f t="shared" si="27"/>
        <v>55.069096901561103</v>
      </c>
      <c r="BD64" s="24">
        <f t="shared" si="27"/>
        <v>54.761904761904759</v>
      </c>
      <c r="BF64" s="24">
        <f>BF65/12</f>
        <v>18.399139999999999</v>
      </c>
      <c r="BG64" s="24">
        <f>BG65/12</f>
        <v>43.431916666666666</v>
      </c>
      <c r="BH64" s="24">
        <f>BH65/12</f>
        <v>42.682926829268297</v>
      </c>
      <c r="BI64" s="24">
        <f>BI65/12</f>
        <v>42.151162790697676</v>
      </c>
      <c r="BJ64" s="24">
        <f>BJ65/12</f>
        <v>45.192307692307686</v>
      </c>
    </row>
    <row r="65" spans="3:62" x14ac:dyDescent="0.2">
      <c r="C65" s="23" t="s">
        <v>122</v>
      </c>
      <c r="D65" s="10"/>
      <c r="E65" s="10"/>
      <c r="F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W65" s="24">
        <f t="shared" ref="AW65:BD65" si="28">AW66/AW61</f>
        <v>24.862500000000004</v>
      </c>
      <c r="AX65" s="24">
        <f t="shared" si="28"/>
        <v>66.732815057283133</v>
      </c>
      <c r="AY65" s="24">
        <f t="shared" si="28"/>
        <v>67.130740100569312</v>
      </c>
      <c r="AZ65" s="24">
        <f t="shared" si="28"/>
        <v>101.25</v>
      </c>
      <c r="BA65" s="24">
        <f t="shared" si="28"/>
        <v>158.69999999999999</v>
      </c>
      <c r="BB65" s="24">
        <f t="shared" si="28"/>
        <v>166.46437994722956</v>
      </c>
      <c r="BC65" s="24">
        <f t="shared" si="28"/>
        <v>165.20729070468332</v>
      </c>
      <c r="BD65" s="24">
        <f t="shared" si="28"/>
        <v>164.28571428571428</v>
      </c>
      <c r="BF65" s="24">
        <f>BF66/BF61</f>
        <v>220.78968</v>
      </c>
      <c r="BG65" s="24">
        <f>BG66/BG61</f>
        <v>521.18299999999999</v>
      </c>
      <c r="BH65" s="24">
        <f>BH66/BH61</f>
        <v>512.19512195121956</v>
      </c>
      <c r="BI65" s="24">
        <f>BI66/BI61</f>
        <v>505.81395348837208</v>
      </c>
      <c r="BJ65" s="24">
        <f>BJ66/BJ61</f>
        <v>542.30769230769226</v>
      </c>
    </row>
    <row r="66" spans="3:62" x14ac:dyDescent="0.2">
      <c r="C66" s="26" t="s">
        <v>430</v>
      </c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W66" s="25">
        <f t="shared" ref="AW66:BD66" si="29">SUM(AW31,AW51)</f>
        <v>124.31250000000001</v>
      </c>
      <c r="AX66" s="25">
        <f t="shared" si="29"/>
        <v>489.28499999999997</v>
      </c>
      <c r="AY66" s="25">
        <f t="shared" si="29"/>
        <v>581.79930000000002</v>
      </c>
      <c r="AZ66" s="25">
        <f t="shared" si="29"/>
        <v>1012.5</v>
      </c>
      <c r="BA66" s="25">
        <f t="shared" si="29"/>
        <v>1983.75</v>
      </c>
      <c r="BB66" s="25">
        <f t="shared" si="29"/>
        <v>2523.6000000000004</v>
      </c>
      <c r="BC66" s="25">
        <f t="shared" si="29"/>
        <v>2987.4929999999999</v>
      </c>
      <c r="BD66" s="25">
        <f t="shared" si="29"/>
        <v>3450</v>
      </c>
      <c r="BF66" s="25">
        <f>SUMIFS($AW66:$BD66,$AW$11:$BD$11,"&gt;"&amp;BE$11,$AW$11:$BD$11,"&lt;="&amp;BF$11)</f>
        <v>2207.8968</v>
      </c>
      <c r="BG66" s="25">
        <f>SUMIFS($AW66:$BD66,$AW$11:$BD$11,"&gt;"&amp;BF$11,$AW$11:$BD$11,"&lt;="&amp;BG$11)</f>
        <v>10944.843000000001</v>
      </c>
      <c r="BH66" s="25">
        <f>SUM(BH31,BH51)</f>
        <v>21000</v>
      </c>
      <c r="BI66" s="25">
        <f>SUM(BI31,BI51)</f>
        <v>43500</v>
      </c>
      <c r="BJ66" s="25">
        <f>SUM(BJ31,BJ51)</f>
        <v>84600</v>
      </c>
    </row>
    <row r="67" spans="3:62" x14ac:dyDescent="0.2">
      <c r="C67" s="22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W67" s="60"/>
      <c r="AX67" s="60"/>
      <c r="AY67" s="60"/>
      <c r="AZ67" s="60"/>
      <c r="BA67" s="60"/>
      <c r="BB67" s="60"/>
      <c r="BC67" s="60"/>
      <c r="BD67" s="60"/>
      <c r="BF67" s="10"/>
      <c r="BG67" s="10"/>
      <c r="BH67" s="60"/>
      <c r="BI67" s="60"/>
      <c r="BJ67" s="60"/>
    </row>
    <row r="68" spans="3:62" x14ac:dyDescent="0.2">
      <c r="C68" s="29" t="s">
        <v>107</v>
      </c>
      <c r="D68" s="10"/>
      <c r="E68" s="10"/>
      <c r="F68" s="10"/>
      <c r="G68" s="3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W68" s="24"/>
      <c r="AX68" s="24"/>
      <c r="AY68" s="24"/>
      <c r="AZ68" s="24"/>
      <c r="BA68" s="24"/>
      <c r="BB68" s="24"/>
      <c r="BC68" s="24"/>
      <c r="BD68" s="24"/>
      <c r="BF68" s="10"/>
      <c r="BG68" s="10"/>
      <c r="BH68" s="24"/>
      <c r="BI68" s="24"/>
      <c r="BJ68" s="24"/>
    </row>
    <row r="69" spans="3:62" x14ac:dyDescent="0.2">
      <c r="C69" s="23" t="s">
        <v>108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W69" s="50">
        <f t="shared" ref="AW69:BD69" si="30">AW70*(1/$F$15)</f>
        <v>356.92307692307691</v>
      </c>
      <c r="AX69" s="50">
        <f t="shared" si="30"/>
        <v>353.51788834728228</v>
      </c>
      <c r="AY69" s="50">
        <f t="shared" si="30"/>
        <v>357.88931853304052</v>
      </c>
      <c r="AZ69" s="50">
        <f t="shared" si="30"/>
        <v>361.11111111111114</v>
      </c>
      <c r="BA69" s="50">
        <f t="shared" si="30"/>
        <v>357.65595463137998</v>
      </c>
      <c r="BB69" s="50">
        <f t="shared" si="30"/>
        <v>359.80741797432239</v>
      </c>
      <c r="BC69" s="50">
        <f t="shared" si="30"/>
        <v>360.16738783990456</v>
      </c>
      <c r="BD69" s="50">
        <f t="shared" si="30"/>
        <v>360.43478260869568</v>
      </c>
      <c r="BF69" s="50">
        <f>BF70*(1/$F$15)</f>
        <v>358.34363046316298</v>
      </c>
      <c r="BG69" s="50">
        <f>BG70*(1/$F$15)</f>
        <v>359.71347875890046</v>
      </c>
      <c r="BH69" s="50">
        <f>BH70*(1/$F$15)</f>
        <v>358.99999999999994</v>
      </c>
      <c r="BI69" s="50">
        <f>BI70*(1/$F$15)</f>
        <v>358.48275862068971</v>
      </c>
      <c r="BJ69" s="50">
        <f>BJ70*(1/$F$15)</f>
        <v>357.55319148936178</v>
      </c>
    </row>
    <row r="70" spans="3:62" x14ac:dyDescent="0.2">
      <c r="C70" s="23" t="s">
        <v>109</v>
      </c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W70" s="50">
        <f t="shared" ref="AW70:BD70" si="31">AW71/AW66</f>
        <v>481.84615384615387</v>
      </c>
      <c r="AX70" s="50">
        <f t="shared" si="31"/>
        <v>477.2491492688311</v>
      </c>
      <c r="AY70" s="50">
        <f t="shared" si="31"/>
        <v>483.15058001960472</v>
      </c>
      <c r="AZ70" s="50">
        <f t="shared" si="31"/>
        <v>487.50000000000006</v>
      </c>
      <c r="BA70" s="50">
        <f t="shared" si="31"/>
        <v>482.83553875236299</v>
      </c>
      <c r="BB70" s="50">
        <f t="shared" si="31"/>
        <v>485.74001426533528</v>
      </c>
      <c r="BC70" s="50">
        <f t="shared" si="31"/>
        <v>486.22597358387122</v>
      </c>
      <c r="BD70" s="50">
        <f t="shared" si="31"/>
        <v>486.58695652173918</v>
      </c>
      <c r="BF70" s="50">
        <f>BF71/BF66</f>
        <v>483.76390112527002</v>
      </c>
      <c r="BG70" s="50">
        <f>BG71/BG66</f>
        <v>485.61319632451563</v>
      </c>
      <c r="BH70" s="50">
        <f>BH71/BH66</f>
        <v>484.65</v>
      </c>
      <c r="BI70" s="50">
        <f>BI71/BI66</f>
        <v>483.95172413793114</v>
      </c>
      <c r="BJ70" s="50">
        <f>BJ71/BJ66</f>
        <v>482.69680851063839</v>
      </c>
    </row>
    <row r="71" spans="3:62" x14ac:dyDescent="0.2">
      <c r="C71" s="72" t="s">
        <v>442</v>
      </c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W71" s="74">
        <f t="shared" ref="AW71:BD71" si="32">SUM(AW36,AW56)</f>
        <v>59899.500000000007</v>
      </c>
      <c r="AX71" s="74">
        <f t="shared" si="32"/>
        <v>233510.85</v>
      </c>
      <c r="AY71" s="74">
        <f t="shared" si="32"/>
        <v>281096.66925000004</v>
      </c>
      <c r="AZ71" s="74">
        <f t="shared" si="32"/>
        <v>493593.75000000006</v>
      </c>
      <c r="BA71" s="74">
        <f t="shared" si="32"/>
        <v>957825.00000000012</v>
      </c>
      <c r="BB71" s="74">
        <f t="shared" si="32"/>
        <v>1225813.5000000002</v>
      </c>
      <c r="BC71" s="74">
        <f t="shared" si="32"/>
        <v>1452596.6925000001</v>
      </c>
      <c r="BD71" s="74">
        <f t="shared" si="32"/>
        <v>1678725.0000000002</v>
      </c>
      <c r="BF71" s="74">
        <f>SUMIFS($AW71:$BD71,$AW$11:$BD$11,"&gt;"&amp;BE$11,$AW$11:$BD$11,"&lt;="&amp;BF$11)</f>
        <v>1068100.7692500001</v>
      </c>
      <c r="BG71" s="74">
        <f>SUMIFS($AW71:$BD71,$AW$11:$BD$11,"&gt;"&amp;BF$11,$AW$11:$BD$11,"&lt;="&amp;BG$11)</f>
        <v>5314960.1925000008</v>
      </c>
      <c r="BH71" s="74">
        <f>SUM(BH36,BH56)</f>
        <v>10177650</v>
      </c>
      <c r="BI71" s="74">
        <f>SUM(BI36,BI56)</f>
        <v>21051900.000000004</v>
      </c>
      <c r="BJ71" s="74">
        <f>SUM(BJ36,BJ56)</f>
        <v>40836150.000000007</v>
      </c>
    </row>
    <row r="72" spans="3:62" x14ac:dyDescent="0.2">
      <c r="C72" s="22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W72" s="10"/>
      <c r="AX72" s="10"/>
      <c r="AY72" s="10"/>
      <c r="AZ72" s="10"/>
      <c r="BA72" s="10"/>
      <c r="BB72" s="10"/>
      <c r="BC72" s="10"/>
      <c r="BD72" s="10"/>
      <c r="BF72" s="10"/>
      <c r="BG72" s="10"/>
      <c r="BH72" s="10"/>
      <c r="BI72" s="10"/>
      <c r="BJ72" s="10"/>
    </row>
    <row r="73" spans="3:62" x14ac:dyDescent="0.2">
      <c r="C73" s="22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W73" s="10"/>
      <c r="AX73" s="10"/>
      <c r="AY73" s="10"/>
      <c r="AZ73" s="10"/>
      <c r="BA73" s="10"/>
      <c r="BB73" s="10"/>
      <c r="BC73" s="10"/>
      <c r="BD73" s="10"/>
      <c r="BF73" s="10"/>
      <c r="BG73" s="10"/>
      <c r="BH73" s="10"/>
      <c r="BI73" s="10"/>
      <c r="BJ73" s="10"/>
    </row>
    <row r="74" spans="3:62" x14ac:dyDescent="0.2">
      <c r="C74" s="110" t="s">
        <v>145</v>
      </c>
      <c r="D74" s="111"/>
      <c r="E74" s="111"/>
      <c r="F74" s="111"/>
      <c r="G74" s="111"/>
      <c r="H74" s="111"/>
      <c r="I74" s="111"/>
      <c r="J74" s="111"/>
      <c r="K74" s="111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W74" s="111"/>
      <c r="AX74" s="111"/>
      <c r="AY74" s="111"/>
      <c r="AZ74" s="111"/>
      <c r="BA74" s="111"/>
      <c r="BB74" s="111"/>
      <c r="BC74" s="111"/>
      <c r="BD74" s="111"/>
      <c r="BF74" s="111"/>
      <c r="BG74" s="111"/>
      <c r="BH74" s="111"/>
      <c r="BI74" s="111"/>
      <c r="BJ74" s="111"/>
    </row>
    <row r="75" spans="3:62" x14ac:dyDescent="0.2">
      <c r="C75" s="22"/>
      <c r="BF75" s="98"/>
      <c r="BG75" s="98"/>
      <c r="BH75" s="98"/>
      <c r="BI75" s="98"/>
      <c r="BJ75" s="98"/>
    </row>
    <row r="76" spans="3:62" x14ac:dyDescent="0.2">
      <c r="C76" s="22"/>
      <c r="BF76" s="98"/>
      <c r="BG76" s="98"/>
      <c r="BH76" s="98"/>
      <c r="BI76" s="98"/>
      <c r="BJ76" s="98"/>
    </row>
    <row r="77" spans="3:62" x14ac:dyDescent="0.2">
      <c r="C77" s="46" t="s">
        <v>252</v>
      </c>
      <c r="BF77" s="98"/>
      <c r="BG77" s="98"/>
      <c r="BH77" s="98"/>
      <c r="BI77" s="98"/>
      <c r="BJ77" s="98"/>
    </row>
    <row r="78" spans="3:62" x14ac:dyDescent="0.2">
      <c r="C78" s="78" t="s">
        <v>128</v>
      </c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W78" s="10"/>
      <c r="AX78" s="10"/>
      <c r="AY78" s="10"/>
      <c r="AZ78" s="10"/>
      <c r="BA78" s="10"/>
      <c r="BB78" s="10"/>
      <c r="BC78" s="10"/>
      <c r="BD78" s="10"/>
      <c r="BF78" s="116">
        <f>'Market Size'!N29*1000</f>
        <v>601208.60941596015</v>
      </c>
      <c r="BG78" s="116">
        <f>'Market Size'!O29*1000</f>
        <v>649305.2981692371</v>
      </c>
      <c r="BH78" s="116">
        <f>'Market Size'!P29*1000</f>
        <v>701249.72202277591</v>
      </c>
      <c r="BI78" s="116">
        <f>'Market Size'!Q29*1000</f>
        <v>757349.69978459796</v>
      </c>
      <c r="BJ78" s="116">
        <f>'Market Size'!R29*1000</f>
        <v>817937.67576736596</v>
      </c>
    </row>
    <row r="79" spans="3:62" x14ac:dyDescent="0.2">
      <c r="C79" s="78" t="s">
        <v>129</v>
      </c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W79" s="10"/>
      <c r="AX79" s="10"/>
      <c r="AY79" s="10"/>
      <c r="AZ79" s="10"/>
      <c r="BA79" s="10"/>
      <c r="BB79" s="10"/>
      <c r="BC79" s="10"/>
      <c r="BD79" s="10"/>
      <c r="BF79" s="116">
        <f>'Market Size'!N30*1000</f>
        <v>130959.20076988767</v>
      </c>
      <c r="BG79" s="116">
        <f>'Market Size'!O30*1000</f>
        <v>141435.9368314787</v>
      </c>
      <c r="BH79" s="116">
        <f>'Market Size'!P30*1000</f>
        <v>152750.81177799701</v>
      </c>
      <c r="BI79" s="116">
        <f>'Market Size'!Q30*1000</f>
        <v>164970.87672023676</v>
      </c>
      <c r="BJ79" s="116">
        <f>'Market Size'!R30*1000</f>
        <v>178168.54685785572</v>
      </c>
    </row>
    <row r="80" spans="3:62" x14ac:dyDescent="0.2">
      <c r="C80" s="78" t="s">
        <v>130</v>
      </c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W80" s="10"/>
      <c r="AX80" s="10"/>
      <c r="AY80" s="10"/>
      <c r="AZ80" s="10"/>
      <c r="BA80" s="10"/>
      <c r="BB80" s="10"/>
      <c r="BC80" s="10"/>
      <c r="BD80" s="10"/>
      <c r="BF80" s="116">
        <f>'Market Size'!N31*1000</f>
        <v>469522.22844636883</v>
      </c>
      <c r="BG80" s="116">
        <f>'Market Size'!O31*1000</f>
        <v>507084.00672207837</v>
      </c>
      <c r="BH80" s="116">
        <f>'Market Size'!P31*1000</f>
        <v>547650.72725984466</v>
      </c>
      <c r="BI80" s="116">
        <f>'Market Size'!Q31*1000</f>
        <v>591462.78544063214</v>
      </c>
      <c r="BJ80" s="116">
        <f>'Market Size'!R31*1000</f>
        <v>638779.80827588274</v>
      </c>
    </row>
    <row r="81" spans="3:62" x14ac:dyDescent="0.2">
      <c r="C81" s="78" t="s">
        <v>132</v>
      </c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W81" s="10"/>
      <c r="AX81" s="10"/>
      <c r="AY81" s="10"/>
      <c r="AZ81" s="10"/>
      <c r="BA81" s="10"/>
      <c r="BB81" s="10"/>
      <c r="BC81" s="10"/>
      <c r="BD81" s="10"/>
      <c r="BF81" s="116"/>
      <c r="BG81" s="116"/>
      <c r="BH81" s="116"/>
      <c r="BI81" s="116"/>
      <c r="BJ81" s="116"/>
    </row>
    <row r="82" spans="3:62" x14ac:dyDescent="0.2">
      <c r="C82" s="100" t="s">
        <v>254</v>
      </c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W82" s="10"/>
      <c r="AX82" s="10"/>
      <c r="AY82" s="10"/>
      <c r="AZ82" s="10"/>
      <c r="BA82" s="10"/>
      <c r="BB82" s="10"/>
      <c r="BC82" s="10"/>
      <c r="BD82" s="10"/>
      <c r="BF82" s="117">
        <f>SUM(BF78:BF81)</f>
        <v>1201690.0386322166</v>
      </c>
      <c r="BG82" s="117">
        <f>SUM(BG78:BG81)</f>
        <v>1297825.2417227942</v>
      </c>
      <c r="BH82" s="117">
        <f>SUM(BH78:BH81)</f>
        <v>1401651.2610606174</v>
      </c>
      <c r="BI82" s="117">
        <f>SUM(BI78:BI81)</f>
        <v>1513783.3619454668</v>
      </c>
      <c r="BJ82" s="117">
        <f>SUM(BJ78:BJ81)</f>
        <v>1634886.0309011044</v>
      </c>
    </row>
    <row r="83" spans="3:62" x14ac:dyDescent="0.2">
      <c r="C83" s="45" t="s">
        <v>369</v>
      </c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W83" s="10"/>
      <c r="AX83" s="10"/>
      <c r="AY83" s="10"/>
      <c r="AZ83" s="10"/>
      <c r="BA83" s="10"/>
      <c r="BB83" s="10"/>
      <c r="BC83" s="10"/>
      <c r="BD83" s="10"/>
      <c r="BF83" s="184">
        <f>BF31/BF82</f>
        <v>3.0659944590983012E-4</v>
      </c>
      <c r="BG83" s="184">
        <f>BG31/BG82</f>
        <v>1.6383176498998553E-3</v>
      </c>
      <c r="BH83" s="184">
        <f>BH31/BH82</f>
        <v>2.6968191767898862E-3</v>
      </c>
      <c r="BI83" s="184">
        <f>BI31/BI82</f>
        <v>4.8752022155372715E-3</v>
      </c>
      <c r="BJ83" s="184">
        <f>BJ31/BJ82</f>
        <v>7.8170586563492822E-3</v>
      </c>
    </row>
    <row r="84" spans="3:62" x14ac:dyDescent="0.2">
      <c r="C84" s="22"/>
      <c r="BF84" s="98"/>
      <c r="BG84" s="98"/>
      <c r="BH84" s="98"/>
      <c r="BI84" s="98"/>
      <c r="BJ84" s="98"/>
    </row>
    <row r="85" spans="3:62" x14ac:dyDescent="0.2">
      <c r="C85" s="22"/>
      <c r="BF85" s="98"/>
      <c r="BG85" s="98"/>
      <c r="BH85" s="98"/>
      <c r="BI85" s="98"/>
      <c r="BJ85" s="98"/>
    </row>
    <row r="86" spans="3:62" x14ac:dyDescent="0.2">
      <c r="C86" s="46" t="s">
        <v>426</v>
      </c>
      <c r="BF86" s="98"/>
      <c r="BG86" s="98"/>
      <c r="BH86" s="98"/>
      <c r="BI86" s="98"/>
      <c r="BJ86" s="98"/>
    </row>
    <row r="87" spans="3:62" x14ac:dyDescent="0.2">
      <c r="C87" s="78" t="s">
        <v>128</v>
      </c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W87" s="10"/>
      <c r="AX87" s="10"/>
      <c r="AY87" s="10"/>
      <c r="AZ87" s="10"/>
      <c r="BA87" s="10"/>
      <c r="BB87" s="10"/>
      <c r="BC87" s="10"/>
      <c r="BD87" s="10"/>
      <c r="BF87" s="116">
        <f>'Market Size'!N38*1000</f>
        <v>5301840.5624995846</v>
      </c>
      <c r="BG87" s="116">
        <f>'Market Size'!O38*1000</f>
        <v>5725987.8074995521</v>
      </c>
      <c r="BH87" s="116">
        <f>'Market Size'!P38*1000</f>
        <v>6184066.8320995159</v>
      </c>
      <c r="BI87" s="116">
        <f>'Market Size'!Q38*1000</f>
        <v>6678792.1786674773</v>
      </c>
      <c r="BJ87" s="116">
        <f>'Market Size'!R38*1000</f>
        <v>7213095.5529608754</v>
      </c>
    </row>
    <row r="88" spans="3:62" x14ac:dyDescent="0.2">
      <c r="C88" s="78" t="s">
        <v>129</v>
      </c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W88" s="10"/>
      <c r="AX88" s="10"/>
      <c r="AY88" s="10"/>
      <c r="AZ88" s="10"/>
      <c r="BA88" s="10"/>
      <c r="BB88" s="10"/>
      <c r="BC88" s="10"/>
      <c r="BD88" s="10"/>
      <c r="BF88" s="116">
        <f>'Market Size'!N39*1000</f>
        <v>1154881.6696900171</v>
      </c>
      <c r="BG88" s="116">
        <f>'Market Size'!O39*1000</f>
        <v>1247272.2032652185</v>
      </c>
      <c r="BH88" s="116">
        <f>'Market Size'!P39*1000</f>
        <v>1347053.979526436</v>
      </c>
      <c r="BI88" s="116">
        <f>'Market Size'!Q39*1000</f>
        <v>1454818.2978885509</v>
      </c>
      <c r="BJ88" s="116">
        <f>'Market Size'!R39*1000</f>
        <v>1571203.7617196352</v>
      </c>
    </row>
    <row r="89" spans="3:62" x14ac:dyDescent="0.2">
      <c r="C89" s="78" t="s">
        <v>130</v>
      </c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W89" s="10"/>
      <c r="AX89" s="10"/>
      <c r="AY89" s="10"/>
      <c r="AZ89" s="10"/>
      <c r="BA89" s="10"/>
      <c r="BB89" s="10"/>
      <c r="BC89" s="10"/>
      <c r="BD89" s="10"/>
      <c r="BF89" s="116">
        <f>'Market Size'!N40*1000</f>
        <v>0</v>
      </c>
      <c r="BG89" s="116">
        <f>'Market Size'!O40*1000</f>
        <v>0</v>
      </c>
      <c r="BH89" s="116">
        <f>'Market Size'!P40*1000</f>
        <v>0</v>
      </c>
      <c r="BI89" s="116">
        <f>'Market Size'!Q40*1000</f>
        <v>0</v>
      </c>
      <c r="BJ89" s="116">
        <f>'Market Size'!R40*1000</f>
        <v>0</v>
      </c>
    </row>
    <row r="90" spans="3:62" x14ac:dyDescent="0.2">
      <c r="C90" s="78" t="s">
        <v>132</v>
      </c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W90" s="10"/>
      <c r="AX90" s="10"/>
      <c r="AY90" s="10"/>
      <c r="AZ90" s="10"/>
      <c r="BA90" s="10"/>
      <c r="BB90" s="10"/>
      <c r="BC90" s="10"/>
      <c r="BD90" s="10"/>
      <c r="BF90" s="116"/>
      <c r="BG90" s="116"/>
      <c r="BH90" s="116"/>
      <c r="BI90" s="116"/>
      <c r="BJ90" s="116"/>
    </row>
    <row r="91" spans="3:62" x14ac:dyDescent="0.2">
      <c r="C91" s="100" t="s">
        <v>427</v>
      </c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W91" s="10"/>
      <c r="AX91" s="10"/>
      <c r="AY91" s="10"/>
      <c r="AZ91" s="10"/>
      <c r="BA91" s="10"/>
      <c r="BB91" s="10"/>
      <c r="BC91" s="10"/>
      <c r="BD91" s="10"/>
      <c r="BF91" s="117">
        <f>SUM(BF87:BF90)</f>
        <v>6456722.2321896013</v>
      </c>
      <c r="BG91" s="117">
        <f>SUM(BG87:BG90)</f>
        <v>6973260.0107647702</v>
      </c>
      <c r="BH91" s="117">
        <f>SUM(BH87:BH90)</f>
        <v>7531120.8116259519</v>
      </c>
      <c r="BI91" s="117">
        <f>SUM(BI87:BI90)</f>
        <v>8133610.4765560282</v>
      </c>
      <c r="BJ91" s="117">
        <f>SUM(BJ87:BJ90)</f>
        <v>8784299.3146805111</v>
      </c>
    </row>
    <row r="92" spans="3:62" x14ac:dyDescent="0.2">
      <c r="C92" s="45" t="s">
        <v>428</v>
      </c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W92" s="10"/>
      <c r="AX92" s="10"/>
      <c r="AY92" s="10"/>
      <c r="AZ92" s="10"/>
      <c r="BA92" s="10"/>
      <c r="BB92" s="10"/>
      <c r="BC92" s="10"/>
      <c r="BD92" s="10"/>
      <c r="BF92" s="184">
        <f>BF51/BF91</f>
        <v>2.8489057355286031E-4</v>
      </c>
      <c r="BG92" s="184">
        <f>BG51/BG91</f>
        <v>1.2646298842129149E-3</v>
      </c>
      <c r="BH92" s="184">
        <f>BH51/BH91</f>
        <v>2.2865122510605752E-3</v>
      </c>
      <c r="BI92" s="184">
        <f>BI51/BI91</f>
        <v>4.440832285257666E-3</v>
      </c>
      <c r="BJ92" s="184">
        <f>BJ51/BJ91</f>
        <v>8.175950912780585E-3</v>
      </c>
    </row>
    <row r="93" spans="3:62" x14ac:dyDescent="0.2">
      <c r="C93" s="22"/>
      <c r="BF93" s="98"/>
      <c r="BG93" s="98"/>
      <c r="BH93" s="98"/>
      <c r="BI93" s="98"/>
      <c r="BJ93" s="98"/>
    </row>
    <row r="94" spans="3:62" x14ac:dyDescent="0.2">
      <c r="C94" s="22"/>
      <c r="BF94" s="98"/>
      <c r="BG94" s="98"/>
      <c r="BH94" s="98"/>
      <c r="BI94" s="98"/>
      <c r="BJ94" s="98"/>
    </row>
    <row r="95" spans="3:62" x14ac:dyDescent="0.2">
      <c r="C95" s="150" t="s">
        <v>253</v>
      </c>
      <c r="BF95" s="98"/>
      <c r="BG95" s="98"/>
      <c r="BH95" s="98"/>
      <c r="BI95" s="98"/>
      <c r="BJ95" s="98"/>
    </row>
    <row r="96" spans="3:62" x14ac:dyDescent="0.2">
      <c r="C96" s="23" t="s">
        <v>128</v>
      </c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W96" s="10"/>
      <c r="AX96" s="10"/>
      <c r="AY96" s="10"/>
      <c r="AZ96" s="10"/>
      <c r="BA96" s="10"/>
      <c r="BB96" s="10"/>
      <c r="BC96" s="10"/>
      <c r="BD96" s="10"/>
      <c r="BF96" s="116">
        <f>'Market Size'!N47*1000</f>
        <v>5903049.1719155451</v>
      </c>
      <c r="BG96" s="116">
        <f>'Market Size'!O47*1000</f>
        <v>6375293.1056687897</v>
      </c>
      <c r="BH96" s="116">
        <f>'Market Size'!P47*1000</f>
        <v>6885316.5541222915</v>
      </c>
      <c r="BI96" s="116">
        <f>'Market Size'!Q47*1000</f>
        <v>7436141.8784520747</v>
      </c>
      <c r="BJ96" s="116">
        <f>'Market Size'!R47*1000</f>
        <v>8031033.2287282413</v>
      </c>
    </row>
    <row r="97" spans="3:62" x14ac:dyDescent="0.2">
      <c r="C97" s="23" t="s">
        <v>129</v>
      </c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W97" s="10"/>
      <c r="AX97" s="10"/>
      <c r="AY97" s="10"/>
      <c r="AZ97" s="10"/>
      <c r="BA97" s="10"/>
      <c r="BB97" s="10"/>
      <c r="BC97" s="10"/>
      <c r="BD97" s="10"/>
      <c r="BF97" s="116">
        <f>'Market Size'!N48*1000</f>
        <v>1285840.8704599049</v>
      </c>
      <c r="BG97" s="116">
        <f>'Market Size'!O48*1000</f>
        <v>1388708.1400966973</v>
      </c>
      <c r="BH97" s="116">
        <f>'Market Size'!P48*1000</f>
        <v>1499804.791304433</v>
      </c>
      <c r="BI97" s="116">
        <f>'Market Size'!Q48*1000</f>
        <v>1619789.1746087875</v>
      </c>
      <c r="BJ97" s="116">
        <f>'Market Size'!R48*1000</f>
        <v>1749372.308577491</v>
      </c>
    </row>
    <row r="98" spans="3:62" x14ac:dyDescent="0.2">
      <c r="C98" s="23" t="s">
        <v>130</v>
      </c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W98" s="10"/>
      <c r="AX98" s="10"/>
      <c r="AY98" s="10"/>
      <c r="AZ98" s="10"/>
      <c r="BA98" s="10"/>
      <c r="BB98" s="10"/>
      <c r="BC98" s="10"/>
      <c r="BD98" s="10"/>
      <c r="BF98" s="116">
        <f>'Market Size'!N49*1000</f>
        <v>469522.22844636883</v>
      </c>
      <c r="BG98" s="116">
        <f>'Market Size'!O49*1000</f>
        <v>507084.00672207837</v>
      </c>
      <c r="BH98" s="116">
        <f>'Market Size'!P49*1000</f>
        <v>547650.72725984466</v>
      </c>
      <c r="BI98" s="116">
        <f>'Market Size'!Q49*1000</f>
        <v>591462.78544063214</v>
      </c>
      <c r="BJ98" s="116">
        <f>'Market Size'!R49*1000</f>
        <v>638779.80827588274</v>
      </c>
    </row>
    <row r="99" spans="3:62" x14ac:dyDescent="0.2">
      <c r="C99" s="23" t="s">
        <v>132</v>
      </c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W99" s="10"/>
      <c r="AX99" s="10"/>
      <c r="AY99" s="10"/>
      <c r="AZ99" s="10"/>
      <c r="BA99" s="10"/>
      <c r="BB99" s="10"/>
      <c r="BC99" s="10"/>
      <c r="BD99" s="10"/>
      <c r="BF99" s="116"/>
      <c r="BG99" s="116"/>
      <c r="BH99" s="116"/>
      <c r="BI99" s="116"/>
      <c r="BJ99" s="116"/>
    </row>
    <row r="100" spans="3:62" x14ac:dyDescent="0.2">
      <c r="C100" s="100" t="s">
        <v>255</v>
      </c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W100" s="10"/>
      <c r="AX100" s="10"/>
      <c r="AY100" s="10"/>
      <c r="AZ100" s="10"/>
      <c r="BA100" s="10"/>
      <c r="BB100" s="10"/>
      <c r="BC100" s="10"/>
      <c r="BD100" s="10"/>
      <c r="BF100" s="117">
        <f>SUM(BF96:BF99)</f>
        <v>7658412.2708218191</v>
      </c>
      <c r="BG100" s="117">
        <f>SUM(BG96:BG99)</f>
        <v>8271085.2524875654</v>
      </c>
      <c r="BH100" s="117">
        <f>SUM(BH96:BH99)</f>
        <v>8932772.0726865698</v>
      </c>
      <c r="BI100" s="117">
        <f>SUM(BI96:BI99)</f>
        <v>9647393.8385014944</v>
      </c>
      <c r="BJ100" s="117">
        <f>SUM(BJ96:BJ99)</f>
        <v>10419185.345581613</v>
      </c>
    </row>
    <row r="101" spans="3:62" x14ac:dyDescent="0.2">
      <c r="C101" s="72" t="s">
        <v>370</v>
      </c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W101" s="10"/>
      <c r="AX101" s="10"/>
      <c r="AY101" s="10"/>
      <c r="AZ101" s="10"/>
      <c r="BA101" s="10"/>
      <c r="BB101" s="10"/>
      <c r="BC101" s="10"/>
      <c r="BD101" s="10"/>
      <c r="BF101" s="101">
        <f>BF66/BF100</f>
        <v>2.8829693700507353E-4</v>
      </c>
      <c r="BG101" s="101">
        <f>BG66/BG100</f>
        <v>1.3232656496568319E-3</v>
      </c>
      <c r="BH101" s="101">
        <f>BH66/BH100</f>
        <v>2.3508939698809708E-3</v>
      </c>
      <c r="BI101" s="101">
        <f>BI66/BI100</f>
        <v>4.5089897570468364E-3</v>
      </c>
      <c r="BJ101" s="101">
        <f>BJ66/BJ100</f>
        <v>8.1196367272490921E-3</v>
      </c>
    </row>
    <row r="102" spans="3:62" x14ac:dyDescent="0.2">
      <c r="C102" s="22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W102" s="10"/>
      <c r="AX102" s="10"/>
      <c r="AY102" s="10"/>
      <c r="AZ102" s="10"/>
      <c r="BA102" s="10"/>
      <c r="BB102" s="10"/>
      <c r="BC102" s="10"/>
      <c r="BD102" s="10"/>
      <c r="BF102" s="10"/>
      <c r="BG102" s="10"/>
      <c r="BH102" s="10"/>
      <c r="BI102" s="10"/>
      <c r="BJ102" s="10"/>
    </row>
    <row r="103" spans="3:62" x14ac:dyDescent="0.2">
      <c r="C103" s="22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W103" s="10"/>
      <c r="AX103" s="10"/>
      <c r="AY103" s="10"/>
      <c r="AZ103" s="10"/>
      <c r="BA103" s="10"/>
      <c r="BB103" s="10"/>
      <c r="BC103" s="10"/>
      <c r="BD103" s="10"/>
      <c r="BF103" s="10"/>
      <c r="BG103" s="10"/>
      <c r="BH103" s="10"/>
      <c r="BI103" s="10"/>
      <c r="BJ103" s="10"/>
    </row>
    <row r="104" spans="3:62" x14ac:dyDescent="0.2">
      <c r="C104" s="22" t="s">
        <v>398</v>
      </c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W104" s="10"/>
      <c r="AX104" s="10"/>
      <c r="AY104" s="10"/>
      <c r="AZ104" s="10"/>
      <c r="BA104" s="10"/>
      <c r="BB104" s="10"/>
      <c r="BC104" s="10"/>
      <c r="BD104" s="10"/>
      <c r="BF104" s="10"/>
      <c r="BG104" s="10"/>
      <c r="BH104" s="10"/>
      <c r="BI104" s="10"/>
      <c r="BJ104" s="10"/>
    </row>
    <row r="105" spans="3:62" x14ac:dyDescent="0.2">
      <c r="C105" s="23" t="s">
        <v>3</v>
      </c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W105" s="10"/>
      <c r="AX105" s="10"/>
      <c r="AY105" s="10"/>
      <c r="AZ105" s="10"/>
      <c r="BA105" s="10"/>
      <c r="BB105" s="10"/>
      <c r="BC105" s="10"/>
      <c r="BD105" s="10"/>
      <c r="BF105" s="262">
        <f>'Market Size'!$C$34</f>
        <v>73.959999999999994</v>
      </c>
      <c r="BG105" s="262">
        <f>'Market Size'!$C$34</f>
        <v>73.959999999999994</v>
      </c>
      <c r="BH105" s="262">
        <f>'Market Size'!$C$34</f>
        <v>73.959999999999994</v>
      </c>
      <c r="BI105" s="262">
        <f>'Market Size'!$C$34</f>
        <v>73.959999999999994</v>
      </c>
      <c r="BJ105" s="262">
        <f>'Market Size'!$C$34</f>
        <v>73.959999999999994</v>
      </c>
    </row>
    <row r="106" spans="3:62" x14ac:dyDescent="0.2">
      <c r="C106" s="23" t="s">
        <v>395</v>
      </c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W106" s="10"/>
      <c r="AX106" s="10"/>
      <c r="AY106" s="10"/>
      <c r="AZ106" s="10"/>
      <c r="BA106" s="10"/>
      <c r="BB106" s="10"/>
      <c r="BC106" s="10"/>
      <c r="BD106" s="10"/>
      <c r="BF106" s="262">
        <f>'Market Size'!$C$25</f>
        <v>3540.7919999999999</v>
      </c>
      <c r="BG106" s="262">
        <f>'Market Size'!$C$25</f>
        <v>3540.7919999999999</v>
      </c>
      <c r="BH106" s="262">
        <f>'Market Size'!$C$25</f>
        <v>3540.7919999999999</v>
      </c>
      <c r="BI106" s="262">
        <f>'Market Size'!$C$25</f>
        <v>3540.7919999999999</v>
      </c>
      <c r="BJ106" s="262">
        <f>'Market Size'!$C$25</f>
        <v>3540.7919999999999</v>
      </c>
    </row>
    <row r="107" spans="3:62" x14ac:dyDescent="0.2">
      <c r="C107" s="79" t="s">
        <v>397</v>
      </c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W107" s="10"/>
      <c r="AX107" s="10"/>
      <c r="AY107" s="10"/>
      <c r="AZ107" s="10"/>
      <c r="BA107" s="10"/>
      <c r="BB107" s="10"/>
      <c r="BC107" s="10"/>
      <c r="BD107" s="10"/>
      <c r="BF107" s="263">
        <f>SUM(BF105:BF106)</f>
        <v>3614.752</v>
      </c>
      <c r="BG107" s="263">
        <f>SUM(BG105:BG106)</f>
        <v>3614.752</v>
      </c>
      <c r="BH107" s="263">
        <f>SUM(BH105:BH106)</f>
        <v>3614.752</v>
      </c>
      <c r="BI107" s="263">
        <f>SUM(BI105:BI106)</f>
        <v>3614.752</v>
      </c>
      <c r="BJ107" s="263">
        <f>SUM(BJ105:BJ106)</f>
        <v>3614.752</v>
      </c>
    </row>
    <row r="108" spans="3:62" x14ac:dyDescent="0.2">
      <c r="C108" s="22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W108" s="10"/>
      <c r="AX108" s="10"/>
      <c r="AY108" s="10"/>
      <c r="AZ108" s="10"/>
      <c r="BA108" s="10"/>
      <c r="BB108" s="10"/>
      <c r="BC108" s="10"/>
      <c r="BD108" s="10"/>
      <c r="BF108" s="10"/>
      <c r="BG108" s="10"/>
      <c r="BH108" s="10"/>
      <c r="BI108" s="10"/>
      <c r="BJ108" s="10"/>
    </row>
    <row r="109" spans="3:62" x14ac:dyDescent="0.2">
      <c r="C109" s="22" t="s">
        <v>396</v>
      </c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W109" s="10"/>
      <c r="AX109" s="10"/>
      <c r="AY109" s="10"/>
      <c r="AZ109" s="10"/>
      <c r="BA109" s="10"/>
      <c r="BB109" s="10"/>
      <c r="BC109" s="10"/>
      <c r="BD109" s="10"/>
      <c r="BF109" s="10"/>
      <c r="BG109" s="10"/>
      <c r="BH109" s="10"/>
      <c r="BI109" s="10"/>
      <c r="BJ109" s="10"/>
    </row>
    <row r="110" spans="3:62" x14ac:dyDescent="0.2">
      <c r="C110" s="23" t="s">
        <v>3</v>
      </c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W110" s="10"/>
      <c r="AX110" s="10"/>
      <c r="AY110" s="10"/>
      <c r="AZ110" s="10"/>
      <c r="BA110" s="10"/>
      <c r="BB110" s="10"/>
      <c r="BC110" s="10"/>
      <c r="BD110" s="10"/>
      <c r="BF110" s="264">
        <f>BF26/BF105</f>
        <v>6.7604110329908068E-2</v>
      </c>
      <c r="BG110" s="264">
        <f>BG26/BG105</f>
        <v>0.1081665765278529</v>
      </c>
      <c r="BH110" s="264">
        <f>BH26/BH105</f>
        <v>0.17577068685776095</v>
      </c>
      <c r="BI110" s="264">
        <f>BI26/BI105</f>
        <v>0.37858301784748516</v>
      </c>
      <c r="BJ110" s="264">
        <f>BJ26/BJ105</f>
        <v>0.58139534883720934</v>
      </c>
    </row>
    <row r="111" spans="3:62" x14ac:dyDescent="0.2">
      <c r="C111" s="23" t="s">
        <v>395</v>
      </c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W111" s="10"/>
      <c r="AX111" s="10"/>
      <c r="AY111" s="10"/>
      <c r="AZ111" s="10"/>
      <c r="BA111" s="10"/>
      <c r="BB111" s="10"/>
      <c r="BC111" s="10"/>
      <c r="BD111" s="10"/>
      <c r="BF111" s="264">
        <f>BF46/BF106</f>
        <v>1.4121134480647268E-3</v>
      </c>
      <c r="BG111" s="264">
        <f>BG46/BG106</f>
        <v>3.6714949649682897E-3</v>
      </c>
      <c r="BH111" s="264">
        <f>BH46/BH106</f>
        <v>7.9078353091624701E-3</v>
      </c>
      <c r="BI111" s="264">
        <f>BI46/BI106</f>
        <v>1.6380515997550832E-2</v>
      </c>
      <c r="BJ111" s="264">
        <f>BJ46/BJ106</f>
        <v>3.1913763926262828E-2</v>
      </c>
    </row>
    <row r="112" spans="3:62" x14ac:dyDescent="0.2">
      <c r="C112" s="72" t="s">
        <v>397</v>
      </c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W112" s="10"/>
      <c r="AX112" s="10"/>
      <c r="AY112" s="10"/>
      <c r="AZ112" s="10"/>
      <c r="BA112" s="10"/>
      <c r="BB112" s="10"/>
      <c r="BC112" s="10"/>
      <c r="BD112" s="10"/>
      <c r="BF112" s="265">
        <f>BF61/BF107</f>
        <v>2.7664415152132151E-3</v>
      </c>
      <c r="BG112" s="265">
        <f>BG61/BG107</f>
        <v>5.8095271819477521E-3</v>
      </c>
      <c r="BH112" s="265">
        <f>BH61/BH107</f>
        <v>1.1342410212374183E-2</v>
      </c>
      <c r="BI112" s="265">
        <f>BI61/BI107</f>
        <v>2.379139703083365E-2</v>
      </c>
      <c r="BJ112" s="265">
        <f>BJ61/BJ107</f>
        <v>4.3156487637326157E-2</v>
      </c>
    </row>
    <row r="113" spans="3:64" x14ac:dyDescent="0.2">
      <c r="C113" s="46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W113" s="10"/>
      <c r="AX113" s="10"/>
      <c r="AY113" s="10"/>
      <c r="AZ113" s="10"/>
      <c r="BA113" s="10"/>
      <c r="BB113" s="10"/>
      <c r="BC113" s="10"/>
      <c r="BD113" s="10"/>
      <c r="BF113" s="10"/>
      <c r="BG113" s="10"/>
      <c r="BH113" s="10"/>
      <c r="BI113" s="10"/>
      <c r="BJ113" s="10"/>
    </row>
    <row r="114" spans="3:64" x14ac:dyDescent="0.2">
      <c r="C114" s="46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W114" s="10"/>
      <c r="AX114" s="10"/>
      <c r="AY114" s="10"/>
      <c r="AZ114" s="10"/>
      <c r="BA114" s="10"/>
      <c r="BB114" s="10"/>
      <c r="BC114" s="10"/>
      <c r="BD114" s="10"/>
      <c r="BF114" s="10"/>
      <c r="BG114" s="10"/>
      <c r="BH114" s="10"/>
      <c r="BI114" s="10"/>
      <c r="BJ114" s="10"/>
    </row>
    <row r="115" spans="3:64" x14ac:dyDescent="0.2">
      <c r="C115" s="48" t="s">
        <v>82</v>
      </c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W115" s="49"/>
      <c r="AX115" s="49"/>
      <c r="AY115" s="49"/>
      <c r="AZ115" s="49"/>
      <c r="BA115" s="49"/>
      <c r="BB115" s="49"/>
      <c r="BC115" s="49"/>
      <c r="BD115" s="49"/>
      <c r="BF115" s="49"/>
      <c r="BG115" s="49"/>
      <c r="BH115" s="49"/>
      <c r="BI115" s="49"/>
      <c r="BJ115" s="49"/>
    </row>
    <row r="116" spans="3:64" x14ac:dyDescent="0.2">
      <c r="C116" s="22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W116" s="10"/>
      <c r="AX116" s="10"/>
      <c r="AY116" s="10"/>
      <c r="AZ116" s="10"/>
      <c r="BA116" s="10"/>
      <c r="BB116" s="10"/>
      <c r="BC116" s="10"/>
      <c r="BD116" s="10"/>
      <c r="BF116" s="10"/>
      <c r="BG116" s="10"/>
      <c r="BH116" s="10"/>
      <c r="BI116" s="10"/>
      <c r="BJ116" s="10"/>
    </row>
    <row r="117" spans="3:64" x14ac:dyDescent="0.2">
      <c r="C117" s="22" t="s">
        <v>85</v>
      </c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F117" s="10"/>
      <c r="BG117" s="10"/>
      <c r="BH117" s="10"/>
      <c r="BI117" s="10"/>
      <c r="BJ117" s="10"/>
    </row>
    <row r="118" spans="3:64" x14ac:dyDescent="0.2">
      <c r="C118" s="23" t="s">
        <v>84</v>
      </c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278">
        <f t="shared" ref="AW118:BD118" si="33">AW66</f>
        <v>124.31250000000001</v>
      </c>
      <c r="AX118" s="278">
        <f t="shared" si="33"/>
        <v>489.28499999999997</v>
      </c>
      <c r="AY118" s="278">
        <f t="shared" si="33"/>
        <v>581.79930000000002</v>
      </c>
      <c r="AZ118" s="278">
        <f t="shared" si="33"/>
        <v>1012.5</v>
      </c>
      <c r="BA118" s="278">
        <f t="shared" si="33"/>
        <v>1983.75</v>
      </c>
      <c r="BB118" s="278">
        <f t="shared" si="33"/>
        <v>2523.6000000000004</v>
      </c>
      <c r="BC118" s="278">
        <f t="shared" si="33"/>
        <v>2987.4929999999999</v>
      </c>
      <c r="BD118" s="278">
        <f t="shared" si="33"/>
        <v>3450</v>
      </c>
      <c r="BF118" s="24">
        <f>SUMIFS($AW118:$BD118,$AW$11:$BD$11,"&gt;"&amp;BE$11,$AW$11:$BD$11,"&lt;="&amp;BF$11)</f>
        <v>2207.8968</v>
      </c>
      <c r="BG118" s="24">
        <f>SUMIFS($AW118:$BD118,$AW$11:$BD$11,"&gt;"&amp;BF$11,$AW$11:$BD$11,"&lt;="&amp;BG$11)</f>
        <v>10944.843000000001</v>
      </c>
      <c r="BH118" s="278">
        <f>BH66</f>
        <v>21000</v>
      </c>
      <c r="BI118" s="278">
        <f>BI66</f>
        <v>43500</v>
      </c>
      <c r="BJ118" s="278">
        <f>BJ66</f>
        <v>84600</v>
      </c>
    </row>
    <row r="119" spans="3:64" x14ac:dyDescent="0.2">
      <c r="C119" s="23" t="s">
        <v>74</v>
      </c>
      <c r="D119" s="10"/>
      <c r="G119" s="10"/>
      <c r="H119" s="212">
        <f>'Key Assumptions + Summary'!D34</f>
        <v>126.82750909090909</v>
      </c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279">
        <f t="shared" ref="AW119:BD119" si="34">$H$119</f>
        <v>126.82750909090909</v>
      </c>
      <c r="AX119" s="279">
        <f t="shared" si="34"/>
        <v>126.82750909090909</v>
      </c>
      <c r="AY119" s="279">
        <f t="shared" si="34"/>
        <v>126.82750909090909</v>
      </c>
      <c r="AZ119" s="279">
        <f t="shared" si="34"/>
        <v>126.82750909090909</v>
      </c>
      <c r="BA119" s="279">
        <f t="shared" si="34"/>
        <v>126.82750909090909</v>
      </c>
      <c r="BB119" s="279">
        <f t="shared" si="34"/>
        <v>126.82750909090909</v>
      </c>
      <c r="BC119" s="279">
        <f t="shared" si="34"/>
        <v>126.82750909090909</v>
      </c>
      <c r="BD119" s="279">
        <f t="shared" si="34"/>
        <v>126.82750909090909</v>
      </c>
      <c r="BF119" s="279">
        <f>$H$119</f>
        <v>126.82750909090909</v>
      </c>
      <c r="BG119" s="279">
        <f>$H$119</f>
        <v>126.82750909090909</v>
      </c>
      <c r="BH119" s="279">
        <f>$H$119</f>
        <v>126.82750909090909</v>
      </c>
      <c r="BI119" s="279">
        <f>$H$119</f>
        <v>126.82750909090909</v>
      </c>
      <c r="BJ119" s="279">
        <f>$H$119</f>
        <v>126.82750909090909</v>
      </c>
    </row>
    <row r="120" spans="3:64" x14ac:dyDescent="0.2">
      <c r="C120" s="39" t="s">
        <v>86</v>
      </c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75">
        <f t="shared" ref="AW120:BD120" si="35">AW119*AW118</f>
        <v>15766.244723863638</v>
      </c>
      <c r="AX120" s="75">
        <f t="shared" si="35"/>
        <v>62054.797785545452</v>
      </c>
      <c r="AY120" s="75">
        <f t="shared" si="35"/>
        <v>73788.156009834551</v>
      </c>
      <c r="AZ120" s="75">
        <f t="shared" si="35"/>
        <v>128412.85295454545</v>
      </c>
      <c r="BA120" s="75">
        <f t="shared" si="35"/>
        <v>251594.0711590909</v>
      </c>
      <c r="BB120" s="75">
        <f t="shared" si="35"/>
        <v>320061.90194181824</v>
      </c>
      <c r="BC120" s="75">
        <f t="shared" si="35"/>
        <v>378896.29561652726</v>
      </c>
      <c r="BD120" s="75">
        <f t="shared" si="35"/>
        <v>437554.90636363637</v>
      </c>
      <c r="BF120" s="66">
        <f>BF119*BF118</f>
        <v>280022.05147378909</v>
      </c>
      <c r="BG120" s="75">
        <f>BG119*BG118</f>
        <v>1388107.1750810728</v>
      </c>
      <c r="BH120" s="75">
        <f>BH119*BH118</f>
        <v>2663377.6909090909</v>
      </c>
      <c r="BI120" s="75">
        <f>BI119*BI118</f>
        <v>5516996.6454545455</v>
      </c>
      <c r="BJ120" s="75">
        <f>BJ119*BJ118</f>
        <v>10729607.26909091</v>
      </c>
    </row>
    <row r="121" spans="3:64" x14ac:dyDescent="0.2">
      <c r="C121" s="15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70"/>
      <c r="AX121" s="170"/>
      <c r="AY121" s="170"/>
      <c r="AZ121" s="170"/>
      <c r="BA121" s="170"/>
      <c r="BB121" s="170"/>
      <c r="BC121" s="170"/>
      <c r="BD121" s="170"/>
      <c r="BF121" s="171"/>
      <c r="BG121" s="170"/>
      <c r="BH121" s="170"/>
      <c r="BI121" s="170"/>
      <c r="BJ121" s="170"/>
    </row>
    <row r="122" spans="3:64" x14ac:dyDescent="0.2">
      <c r="C122" s="23" t="s">
        <v>6</v>
      </c>
      <c r="G122" s="185">
        <f>'Key Assumptions + Summary'!D39</f>
        <v>0.02</v>
      </c>
      <c r="H122" s="252">
        <f>'Key Assumptions + Summary'!D40</f>
        <v>2885625</v>
      </c>
      <c r="AW122" s="86">
        <f>IF((($G122*'3-Statement Model'!AW16)+AV123)&gt;$H122,$H122-AV123,$G122*'3-Statement Model'!AW16)</f>
        <v>1197.9900000000002</v>
      </c>
      <c r="AX122" s="86">
        <f>IF((($G122*'3-Statement Model'!AX16)+AW123)&gt;$H122,$H122-AW123,$G122*'3-Statement Model'!AX16)</f>
        <v>4670.2170000000006</v>
      </c>
      <c r="AY122" s="86">
        <f>IF((($G122*'3-Statement Model'!AY16)+AX123)&gt;$H122,$H122-AX123,$G122*'3-Statement Model'!AY16)</f>
        <v>5621.9333850000012</v>
      </c>
      <c r="AZ122" s="86">
        <f>IF((($G122*'3-Statement Model'!AZ16)+AY123)&gt;$H122,$H122-AY123,$G122*'3-Statement Model'!AZ16)</f>
        <v>9871.8750000000018</v>
      </c>
      <c r="BA122" s="86">
        <f>IF((($G122*'3-Statement Model'!BA16)+AZ123)&gt;$H122,$H122-AZ123,$G122*'3-Statement Model'!BA16)</f>
        <v>19156.500000000004</v>
      </c>
      <c r="BB122" s="86">
        <f>IF((($G122*'3-Statement Model'!BB16)+BA123)&gt;$H122,$H122-BA123,$G122*'3-Statement Model'!BB16)</f>
        <v>24516.270000000004</v>
      </c>
      <c r="BC122" s="86">
        <f>IF((($G122*'3-Statement Model'!BC16)+BB123)&gt;$H122,$H122-BB123,$G122*'3-Statement Model'!BC16)</f>
        <v>29051.933850000001</v>
      </c>
      <c r="BD122" s="86">
        <f>IF((($G122*'3-Statement Model'!BD16)+BC123)&gt;$H122,$H122-BC123,$G122*'3-Statement Model'!BD16)</f>
        <v>33574.500000000007</v>
      </c>
      <c r="BF122" s="86">
        <f>SUMIFS($AW122:$BD122,$AW$11:$BD$11,"&gt;"&amp;BE$11,$AW$11:$BD$11,"&lt;="&amp;BF$11)</f>
        <v>21362.015385000006</v>
      </c>
      <c r="BG122" s="86">
        <f>SUMIFS($AW122:$BD122,$AW$11:$BD$11,"&gt;"&amp;BF$11,$AW$11:$BD$11,"&lt;="&amp;BG$11)</f>
        <v>106299.20385000002</v>
      </c>
      <c r="BH122" s="86">
        <f>IF((($G122*'3-Statement Model'!BH16)+BG123)&gt;$H122,$H122-BG123,$G122*'3-Statement Model'!BH16)</f>
        <v>203553</v>
      </c>
      <c r="BI122" s="86">
        <f>IF((($G122*'3-Statement Model'!BI16)+BH123)&gt;$H122,$H122-BH123,$G122*'3-Statement Model'!BI16)</f>
        <v>421038.00000000006</v>
      </c>
      <c r="BJ122" s="86">
        <f>IF((($G122*'3-Statement Model'!BJ16)+BI123)&gt;$H122,$H122-BI123,$G122*'3-Statement Model'!BJ16)</f>
        <v>816723.00000000012</v>
      </c>
    </row>
    <row r="123" spans="3:64" x14ac:dyDescent="0.2">
      <c r="C123" s="79" t="s">
        <v>239</v>
      </c>
      <c r="AW123" s="172">
        <f>SUM(AW122)</f>
        <v>1197.9900000000002</v>
      </c>
      <c r="AX123" s="172">
        <f t="shared" ref="AX123:BD123" si="36">AW123+AX122</f>
        <v>5868.2070000000003</v>
      </c>
      <c r="AY123" s="172">
        <f t="shared" si="36"/>
        <v>11490.140385000002</v>
      </c>
      <c r="AZ123" s="172">
        <f t="shared" si="36"/>
        <v>21362.015385000006</v>
      </c>
      <c r="BA123" s="172">
        <f t="shared" si="36"/>
        <v>40518.515385000006</v>
      </c>
      <c r="BB123" s="172">
        <f t="shared" si="36"/>
        <v>65034.78538500001</v>
      </c>
      <c r="BC123" s="172">
        <f t="shared" si="36"/>
        <v>94086.719235000011</v>
      </c>
      <c r="BD123" s="172">
        <f t="shared" si="36"/>
        <v>127661.21923500003</v>
      </c>
      <c r="BF123" s="172">
        <f>BE123+BF122</f>
        <v>21362.015385000006</v>
      </c>
      <c r="BG123" s="172">
        <f>BF123+BG122</f>
        <v>127661.21923500003</v>
      </c>
      <c r="BH123" s="172">
        <f>BG123+BH122</f>
        <v>331214.21923500003</v>
      </c>
      <c r="BI123" s="172">
        <f>BH123+BI122</f>
        <v>752252.21923500008</v>
      </c>
      <c r="BJ123" s="172">
        <f>BI123+BJ122</f>
        <v>1568975.2192350002</v>
      </c>
    </row>
    <row r="124" spans="3:64" x14ac:dyDescent="0.2">
      <c r="C124" s="23"/>
      <c r="AW124" s="86"/>
      <c r="AX124" s="86"/>
      <c r="AY124" s="86"/>
      <c r="AZ124" s="86"/>
      <c r="BA124" s="86"/>
      <c r="BB124" s="86"/>
      <c r="BC124" s="86"/>
      <c r="BD124" s="86"/>
      <c r="BF124" s="86"/>
      <c r="BG124" s="86"/>
      <c r="BH124" s="86"/>
      <c r="BI124" s="86"/>
      <c r="BJ124" s="86"/>
    </row>
    <row r="125" spans="3:64" x14ac:dyDescent="0.2">
      <c r="C125" s="23" t="s">
        <v>7</v>
      </c>
      <c r="G125" s="185">
        <f>'Key Assumptions + Summary'!D43</f>
        <v>1.4999999999999999E-2</v>
      </c>
      <c r="H125" s="252">
        <f>'Key Assumptions + Summary'!D44</f>
        <v>750000</v>
      </c>
      <c r="AW125" s="86">
        <f>IF((($G125*'3-Statement Model'!AW18)+AV126)&gt;$H125,$H125-AV126,$G125*'3-Statement Model'!AW18)</f>
        <v>661.99882914204557</v>
      </c>
      <c r="AX125" s="86">
        <f>IF((($G125*'3-Statement Model'!AX18)+AW126)&gt;$H125,$H125-AW126,$G125*'3-Statement Model'!AX18)</f>
        <v>2571.8407832168186</v>
      </c>
      <c r="AY125" s="86">
        <f>IF((($G125*'3-Statement Model'!AY18)+AX126)&gt;$H125,$H125-AX126,$G125*'3-Statement Model'!AY18)</f>
        <v>3109.6276986024823</v>
      </c>
      <c r="AZ125" s="86">
        <f>IF((($G125*'3-Statement Model'!AZ18)+AY126)&gt;$H125,$H125-AY126,$G125*'3-Statement Model'!AZ18)</f>
        <v>5477.7134556818182</v>
      </c>
      <c r="BA125" s="86">
        <f>IF((($G125*'3-Statement Model'!BA18)+AZ126)&gt;$H125,$H125-AZ126,$G125*'3-Statement Model'!BA18)</f>
        <v>10593.463932613637</v>
      </c>
      <c r="BB125" s="86">
        <f>IF((($G125*'3-Statement Model'!BB18)+BA126)&gt;$H125,$H125-BA126,$G125*'3-Statement Model'!BB18)</f>
        <v>13586.273970872729</v>
      </c>
      <c r="BC125" s="86">
        <f>IF((($G125*'3-Statement Model'!BC18)+BB126)&gt;$H125,$H125-BB126,$G125*'3-Statement Model'!BC18)</f>
        <v>16105.505953252092</v>
      </c>
      <c r="BD125" s="86">
        <f>IF((($G125*'3-Statement Model'!BD18)+BC126)&gt;$H125,$H125-BC126,$G125*'3-Statement Model'!BD18)</f>
        <v>18617.551404545455</v>
      </c>
      <c r="BF125" s="86">
        <f>SUMIFS($AW125:$BD125,$AW$11:$BD$11,"&gt;"&amp;BE$11,$AW$11:$BD$11,"&lt;="&amp;BF$11)</f>
        <v>11821.180766643165</v>
      </c>
      <c r="BG125" s="86">
        <f>SUMIFS($AW125:$BD125,$AW$11:$BD$11,"&gt;"&amp;BF$11,$AW$11:$BD$11,"&lt;="&amp;BG$11)</f>
        <v>58902.795261283914</v>
      </c>
      <c r="BH125" s="86">
        <f>IF((($G125*'3-Statement Model'!BH18)+BG126)&gt;$H125,$H125-BG126,$G125*'3-Statement Model'!BH18)</f>
        <v>112714.08463636362</v>
      </c>
      <c r="BI125" s="86">
        <f>IF((($G125*'3-Statement Model'!BI18)+BH126)&gt;$H125,$H125-BH126,$G125*'3-Statement Model'!BI18)</f>
        <v>233023.55031818189</v>
      </c>
      <c r="BJ125" s="86">
        <f>IF((($G125*'3-Statement Model'!BJ18)+BI126)&gt;$H125,$H125-BI126,$G125*'3-Statement Model'!BJ18)</f>
        <v>333538.3890175274</v>
      </c>
    </row>
    <row r="126" spans="3:64" x14ac:dyDescent="0.2">
      <c r="C126" s="79" t="s">
        <v>240</v>
      </c>
      <c r="AW126" s="172">
        <f>SUM(AW125)</f>
        <v>661.99882914204557</v>
      </c>
      <c r="AX126" s="172">
        <f t="shared" ref="AX126:BD126" si="37">AW126+AX125</f>
        <v>3233.8396123588641</v>
      </c>
      <c r="AY126" s="172">
        <f t="shared" si="37"/>
        <v>6343.4673109613468</v>
      </c>
      <c r="AZ126" s="172">
        <f t="shared" si="37"/>
        <v>11821.180766643165</v>
      </c>
      <c r="BA126" s="172">
        <f t="shared" si="37"/>
        <v>22414.644699256802</v>
      </c>
      <c r="BB126" s="172">
        <f t="shared" si="37"/>
        <v>36000.918670129533</v>
      </c>
      <c r="BC126" s="172">
        <f t="shared" si="37"/>
        <v>52106.424623381623</v>
      </c>
      <c r="BD126" s="172">
        <f t="shared" si="37"/>
        <v>70723.97602792707</v>
      </c>
      <c r="BF126" s="172">
        <f>BE126+BF125</f>
        <v>11821.180766643165</v>
      </c>
      <c r="BG126" s="172">
        <f>BF126+BG125</f>
        <v>70723.976027927085</v>
      </c>
      <c r="BH126" s="172">
        <f>BG126+BH125</f>
        <v>183438.06066429071</v>
      </c>
      <c r="BI126" s="172">
        <f>BH126+BI125</f>
        <v>416461.6109824726</v>
      </c>
      <c r="BJ126" s="172">
        <f>BI126+BJ125</f>
        <v>750000</v>
      </c>
    </row>
    <row r="127" spans="3:64" x14ac:dyDescent="0.2">
      <c r="C127" s="22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W127" s="10"/>
      <c r="AX127" s="10"/>
      <c r="AY127" s="10"/>
      <c r="AZ127" s="10"/>
      <c r="BA127" s="10"/>
      <c r="BB127" s="10"/>
      <c r="BC127" s="10"/>
      <c r="BD127" s="10"/>
      <c r="BF127" s="10"/>
      <c r="BG127" s="10"/>
      <c r="BH127" s="10"/>
      <c r="BI127" s="10"/>
      <c r="BJ127" s="10"/>
    </row>
    <row r="128" spans="3:64" x14ac:dyDescent="0.2">
      <c r="C128" s="43" t="s">
        <v>241</v>
      </c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W128" s="173">
        <f t="shared" ref="AW128:BD128" si="38">SUM(AW126,AW123)</f>
        <v>1859.9888291420457</v>
      </c>
      <c r="AX128" s="173">
        <f t="shared" si="38"/>
        <v>9102.0466123588649</v>
      </c>
      <c r="AY128" s="173">
        <f t="shared" si="38"/>
        <v>17833.607695961349</v>
      </c>
      <c r="AZ128" s="173">
        <f t="shared" si="38"/>
        <v>33183.196151643169</v>
      </c>
      <c r="BA128" s="173">
        <f t="shared" si="38"/>
        <v>62933.160084256808</v>
      </c>
      <c r="BB128" s="173">
        <f t="shared" si="38"/>
        <v>101035.70405512955</v>
      </c>
      <c r="BC128" s="173">
        <f t="shared" si="38"/>
        <v>146193.14385838163</v>
      </c>
      <c r="BD128" s="173">
        <f t="shared" si="38"/>
        <v>198385.1952629271</v>
      </c>
      <c r="BF128" s="173">
        <f>SUM(BF126,BF123)</f>
        <v>33183.196151643169</v>
      </c>
      <c r="BG128" s="173">
        <f>SUM(BG126,BG123)</f>
        <v>198385.1952629271</v>
      </c>
      <c r="BH128" s="173">
        <f>SUM(BH126,BH123)</f>
        <v>514652.27989929076</v>
      </c>
      <c r="BI128" s="173">
        <f>SUM(BI126,BI123)</f>
        <v>1168713.8302174727</v>
      </c>
      <c r="BJ128" s="173">
        <f>SUM(BJ126,BJ123)</f>
        <v>2318975.2192350002</v>
      </c>
      <c r="BL128" s="270"/>
    </row>
    <row r="129" spans="3:62" x14ac:dyDescent="0.2">
      <c r="C129" s="29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W129" s="177"/>
      <c r="AX129" s="177"/>
      <c r="AY129" s="177"/>
      <c r="AZ129" s="177"/>
      <c r="BA129" s="177"/>
      <c r="BB129" s="177"/>
      <c r="BC129" s="177"/>
      <c r="BD129" s="177"/>
      <c r="BF129" s="177"/>
      <c r="BG129" s="177"/>
      <c r="BH129" s="177"/>
      <c r="BI129" s="177"/>
      <c r="BJ129" s="177"/>
    </row>
    <row r="130" spans="3:62" x14ac:dyDescent="0.2">
      <c r="C130" s="48" t="s">
        <v>404</v>
      </c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W130" s="49"/>
      <c r="AX130" s="49"/>
      <c r="AY130" s="49"/>
      <c r="AZ130" s="49"/>
      <c r="BA130" s="49"/>
      <c r="BB130" s="49"/>
      <c r="BC130" s="49"/>
      <c r="BD130" s="49"/>
      <c r="BF130" s="49"/>
      <c r="BG130" s="49"/>
      <c r="BH130" s="49"/>
      <c r="BI130" s="49"/>
      <c r="BJ130" s="49"/>
    </row>
    <row r="131" spans="3:62" x14ac:dyDescent="0.2">
      <c r="C131" s="22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W131" s="10"/>
      <c r="AX131" s="10"/>
      <c r="AY131" s="10"/>
      <c r="AZ131" s="10"/>
      <c r="BA131" s="10"/>
      <c r="BB131" s="10"/>
      <c r="BC131" s="10"/>
      <c r="BD131" s="10"/>
      <c r="BF131" s="10"/>
      <c r="BG131" s="10"/>
      <c r="BH131" s="10"/>
      <c r="BI131" s="10"/>
      <c r="BJ131" s="10"/>
    </row>
    <row r="132" spans="3:62" x14ac:dyDescent="0.2">
      <c r="C132" s="22" t="s">
        <v>405</v>
      </c>
      <c r="D132" s="30"/>
      <c r="E132" s="30"/>
      <c r="F132" s="30" t="s">
        <v>421</v>
      </c>
      <c r="G132" s="30"/>
      <c r="H132" s="273" t="s">
        <v>420</v>
      </c>
      <c r="I132" s="30"/>
      <c r="J132" s="30"/>
      <c r="K132" s="30"/>
      <c r="L132" s="171"/>
      <c r="M132" s="171"/>
      <c r="N132" s="171"/>
      <c r="O132" s="171"/>
      <c r="P132" s="171"/>
      <c r="Q132" s="171"/>
      <c r="R132" s="171"/>
      <c r="S132" s="171"/>
      <c r="T132" s="171"/>
      <c r="U132" s="171"/>
      <c r="V132" s="171"/>
      <c r="W132" s="171"/>
      <c r="X132" s="171"/>
      <c r="Y132" s="171"/>
      <c r="Z132" s="171"/>
      <c r="AA132" s="171"/>
      <c r="AB132" s="171"/>
      <c r="AC132" s="171"/>
      <c r="AD132" s="171"/>
      <c r="AE132" s="171"/>
      <c r="AF132" s="171"/>
      <c r="AG132" s="171"/>
      <c r="AH132" s="171"/>
      <c r="AI132" s="171"/>
      <c r="AJ132" s="171"/>
      <c r="AK132" s="171"/>
      <c r="AL132" s="171"/>
      <c r="AM132" s="171"/>
      <c r="AN132" s="171"/>
      <c r="AO132" s="171"/>
      <c r="AP132" s="171"/>
      <c r="AQ132" s="171"/>
      <c r="AR132" s="171"/>
      <c r="AS132" s="171"/>
      <c r="AT132" s="171"/>
      <c r="AU132" s="171"/>
      <c r="AV132" s="22"/>
      <c r="AW132" s="278">
        <f t="shared" ref="AW132:BD132" si="39">AW61</f>
        <v>5</v>
      </c>
      <c r="AX132" s="278">
        <f t="shared" si="39"/>
        <v>7.3319999999999999</v>
      </c>
      <c r="AY132" s="278">
        <f t="shared" si="39"/>
        <v>8.6666600000000003</v>
      </c>
      <c r="AZ132" s="278">
        <f t="shared" si="39"/>
        <v>10</v>
      </c>
      <c r="BA132" s="278">
        <f t="shared" si="39"/>
        <v>12.5</v>
      </c>
      <c r="BB132" s="278">
        <f t="shared" si="39"/>
        <v>15.16</v>
      </c>
      <c r="BC132" s="278">
        <f t="shared" si="39"/>
        <v>18.083300000000001</v>
      </c>
      <c r="BD132" s="278">
        <f t="shared" si="39"/>
        <v>21</v>
      </c>
      <c r="BE132" s="22"/>
      <c r="BF132" s="278">
        <f>BF61</f>
        <v>10</v>
      </c>
      <c r="BG132" s="278">
        <f>BG61</f>
        <v>21</v>
      </c>
      <c r="BH132" s="278">
        <f>BH61</f>
        <v>41</v>
      </c>
      <c r="BI132" s="278">
        <f>BI61</f>
        <v>86</v>
      </c>
      <c r="BJ132" s="278">
        <f>BJ61</f>
        <v>156</v>
      </c>
    </row>
    <row r="133" spans="3:62" x14ac:dyDescent="0.2">
      <c r="C133" s="7" t="s">
        <v>399</v>
      </c>
      <c r="D133" s="10"/>
      <c r="E133" s="10"/>
      <c r="F133" s="277">
        <f>'Key Assumptions + Summary'!$D$70</f>
        <v>25</v>
      </c>
      <c r="G133" s="272">
        <v>0.75</v>
      </c>
      <c r="H133" s="274">
        <f>(G133)*F133</f>
        <v>18.75</v>
      </c>
      <c r="I133" s="10"/>
      <c r="J133" s="10"/>
      <c r="K133" s="10"/>
      <c r="L133" s="171"/>
      <c r="M133" s="171"/>
      <c r="N133" s="171"/>
      <c r="O133" s="171"/>
      <c r="P133" s="171"/>
      <c r="Q133" s="171"/>
      <c r="R133" s="171"/>
      <c r="S133" s="171"/>
      <c r="T133" s="171"/>
      <c r="U133" s="171"/>
      <c r="V133" s="171"/>
      <c r="W133" s="171"/>
      <c r="X133" s="171"/>
      <c r="Y133" s="171"/>
      <c r="Z133" s="171"/>
      <c r="AA133" s="171"/>
      <c r="AB133" s="171"/>
      <c r="AC133" s="171"/>
      <c r="AD133" s="171"/>
      <c r="AE133" s="171"/>
      <c r="AF133" s="171"/>
      <c r="AG133" s="171"/>
      <c r="AH133" s="171"/>
      <c r="AI133" s="171"/>
      <c r="AJ133" s="171"/>
      <c r="AK133" s="171"/>
      <c r="AL133" s="171"/>
      <c r="AM133" s="171"/>
      <c r="AN133" s="171"/>
      <c r="AO133" s="171"/>
      <c r="AP133" s="171"/>
      <c r="AQ133" s="171"/>
      <c r="AR133" s="171"/>
      <c r="AS133" s="171"/>
      <c r="AT133" s="171"/>
      <c r="AU133" s="171"/>
      <c r="AW133" s="275">
        <f t="shared" ref="AW133:BD133" si="40">$F$133</f>
        <v>25</v>
      </c>
      <c r="AX133" s="275">
        <f t="shared" si="40"/>
        <v>25</v>
      </c>
      <c r="AY133" s="275">
        <f t="shared" si="40"/>
        <v>25</v>
      </c>
      <c r="AZ133" s="275">
        <f t="shared" si="40"/>
        <v>25</v>
      </c>
      <c r="BA133" s="275">
        <f t="shared" si="40"/>
        <v>25</v>
      </c>
      <c r="BB133" s="275">
        <f t="shared" si="40"/>
        <v>25</v>
      </c>
      <c r="BC133" s="275">
        <f t="shared" si="40"/>
        <v>25</v>
      </c>
      <c r="BD133" s="275">
        <f t="shared" si="40"/>
        <v>25</v>
      </c>
      <c r="BF133" s="275">
        <f>$F$133</f>
        <v>25</v>
      </c>
      <c r="BG133" s="275">
        <f>$F$133</f>
        <v>25</v>
      </c>
      <c r="BH133" s="275">
        <f>$F$133</f>
        <v>25</v>
      </c>
      <c r="BI133" s="275">
        <f>$F$133</f>
        <v>25</v>
      </c>
      <c r="BJ133" s="275">
        <f>$F$133</f>
        <v>25</v>
      </c>
    </row>
    <row r="134" spans="3:62" x14ac:dyDescent="0.2">
      <c r="C134" s="26" t="s">
        <v>406</v>
      </c>
      <c r="D134" s="10"/>
      <c r="E134" s="10"/>
      <c r="G134" s="10"/>
      <c r="H134" s="10"/>
      <c r="I134" s="10"/>
      <c r="J134" s="10"/>
      <c r="K134" s="10"/>
      <c r="L134" s="171"/>
      <c r="M134" s="171"/>
      <c r="N134" s="171"/>
      <c r="O134" s="171"/>
      <c r="P134" s="171"/>
      <c r="Q134" s="171"/>
      <c r="R134" s="171"/>
      <c r="S134" s="171"/>
      <c r="T134" s="171"/>
      <c r="U134" s="171"/>
      <c r="V134" s="171"/>
      <c r="W134" s="171"/>
      <c r="X134" s="171"/>
      <c r="Y134" s="171"/>
      <c r="Z134" s="171"/>
      <c r="AA134" s="171"/>
      <c r="AB134" s="171"/>
      <c r="AC134" s="171"/>
      <c r="AD134" s="171"/>
      <c r="AE134" s="171"/>
      <c r="AF134" s="171"/>
      <c r="AG134" s="171"/>
      <c r="AH134" s="171"/>
      <c r="AI134" s="171"/>
      <c r="AJ134" s="171"/>
      <c r="AK134" s="171"/>
      <c r="AL134" s="171"/>
      <c r="AM134" s="171"/>
      <c r="AN134" s="171"/>
      <c r="AO134" s="171"/>
      <c r="AP134" s="171"/>
      <c r="AQ134" s="171"/>
      <c r="AR134" s="171"/>
      <c r="AS134" s="171"/>
      <c r="AT134" s="171"/>
      <c r="AU134" s="171"/>
      <c r="AW134" s="86">
        <f t="shared" ref="AW134:BD134" si="41">CEILING(AW132/$H$133,1)</f>
        <v>1</v>
      </c>
      <c r="AX134" s="86">
        <f t="shared" si="41"/>
        <v>1</v>
      </c>
      <c r="AY134" s="86">
        <f t="shared" si="41"/>
        <v>1</v>
      </c>
      <c r="AZ134" s="86">
        <f t="shared" si="41"/>
        <v>1</v>
      </c>
      <c r="BA134" s="86">
        <f t="shared" si="41"/>
        <v>1</v>
      </c>
      <c r="BB134" s="86">
        <f t="shared" si="41"/>
        <v>1</v>
      </c>
      <c r="BC134" s="86">
        <f t="shared" si="41"/>
        <v>1</v>
      </c>
      <c r="BD134" s="86">
        <f t="shared" si="41"/>
        <v>2</v>
      </c>
      <c r="BF134" s="86">
        <f>CEILING(BF132/$H$133,1)</f>
        <v>1</v>
      </c>
      <c r="BG134" s="86">
        <f>CEILING(BG132/$H$133,1)</f>
        <v>2</v>
      </c>
      <c r="BH134" s="86">
        <f>CEILING(BH132/$H$133,1)</f>
        <v>3</v>
      </c>
      <c r="BI134" s="86">
        <f>CEILING(BI132/$H$133,1)</f>
        <v>5</v>
      </c>
      <c r="BJ134" s="86">
        <f>CEILING(BJ132/$H$133,1)</f>
        <v>9</v>
      </c>
    </row>
    <row r="135" spans="3:62" x14ac:dyDescent="0.2">
      <c r="C135" s="22"/>
      <c r="D135" s="10"/>
      <c r="E135" s="10"/>
      <c r="F135" s="10"/>
      <c r="G135" s="10"/>
      <c r="H135" s="10"/>
      <c r="I135" s="10"/>
      <c r="J135" s="10"/>
      <c r="K135" s="10"/>
      <c r="L135" s="171"/>
      <c r="M135" s="171"/>
      <c r="N135" s="171"/>
      <c r="O135" s="171"/>
      <c r="P135" s="171"/>
      <c r="Q135" s="171"/>
      <c r="R135" s="171"/>
      <c r="S135" s="171"/>
      <c r="T135" s="171"/>
      <c r="U135" s="171"/>
      <c r="V135" s="171"/>
      <c r="W135" s="171"/>
      <c r="X135" s="171"/>
      <c r="Y135" s="171"/>
      <c r="Z135" s="171"/>
      <c r="AA135" s="171"/>
      <c r="AB135" s="171"/>
      <c r="AC135" s="171"/>
      <c r="AD135" s="171"/>
      <c r="AE135" s="171"/>
      <c r="AF135" s="171"/>
      <c r="AG135" s="171"/>
      <c r="AH135" s="171"/>
      <c r="AI135" s="171"/>
      <c r="AJ135" s="171"/>
      <c r="AK135" s="171"/>
      <c r="AL135" s="171"/>
      <c r="AM135" s="171"/>
      <c r="AN135" s="171"/>
      <c r="AO135" s="171"/>
      <c r="AP135" s="171"/>
      <c r="AQ135" s="171"/>
      <c r="AR135" s="171"/>
      <c r="AS135" s="171"/>
      <c r="AT135" s="171"/>
      <c r="AU135" s="171"/>
      <c r="AW135" s="10"/>
      <c r="AX135" s="10"/>
      <c r="AY135" s="10"/>
      <c r="AZ135" s="10"/>
      <c r="BA135" s="10"/>
      <c r="BB135" s="10"/>
      <c r="BC135" s="10"/>
      <c r="BD135" s="10"/>
      <c r="BF135" s="10"/>
      <c r="BG135" s="10"/>
      <c r="BH135" s="10"/>
      <c r="BI135" s="10"/>
      <c r="BJ135" s="10"/>
    </row>
    <row r="136" spans="3:62" x14ac:dyDescent="0.2">
      <c r="C136" s="22" t="s">
        <v>408</v>
      </c>
      <c r="D136" s="10"/>
      <c r="E136" s="10"/>
      <c r="F136" s="10"/>
      <c r="G136" s="10"/>
      <c r="H136" s="10"/>
      <c r="I136" s="10"/>
      <c r="J136" s="10"/>
      <c r="K136" s="10"/>
      <c r="L136" s="171"/>
      <c r="M136" s="171"/>
      <c r="N136" s="171"/>
      <c r="O136" s="171"/>
      <c r="P136" s="171"/>
      <c r="Q136" s="171"/>
      <c r="R136" s="171"/>
      <c r="S136" s="171"/>
      <c r="T136" s="171"/>
      <c r="U136" s="171"/>
      <c r="V136" s="171"/>
      <c r="W136" s="171"/>
      <c r="X136" s="171"/>
      <c r="Y136" s="171"/>
      <c r="Z136" s="171"/>
      <c r="AA136" s="171"/>
      <c r="AB136" s="171"/>
      <c r="AC136" s="171"/>
      <c r="AD136" s="171"/>
      <c r="AE136" s="171"/>
      <c r="AF136" s="171"/>
      <c r="AG136" s="171"/>
      <c r="AH136" s="171"/>
      <c r="AI136" s="171"/>
      <c r="AJ136" s="171"/>
      <c r="AK136" s="171"/>
      <c r="AL136" s="171"/>
      <c r="AM136" s="171"/>
      <c r="AN136" s="171"/>
      <c r="AO136" s="171"/>
      <c r="AP136" s="171"/>
      <c r="AQ136" s="171"/>
      <c r="AR136" s="171"/>
      <c r="AS136" s="171"/>
      <c r="AT136" s="171"/>
      <c r="AU136" s="171"/>
      <c r="AW136" s="10"/>
      <c r="AX136" s="10"/>
      <c r="AY136" s="10"/>
      <c r="AZ136" s="10"/>
      <c r="BA136" s="10"/>
      <c r="BB136" s="10"/>
      <c r="BC136" s="10"/>
      <c r="BD136" s="10"/>
      <c r="BF136" s="10"/>
      <c r="BG136" s="10"/>
      <c r="BH136" s="10"/>
      <c r="BI136" s="10"/>
      <c r="BJ136" s="10"/>
    </row>
    <row r="137" spans="3:62" x14ac:dyDescent="0.2">
      <c r="C137" s="23" t="s">
        <v>407</v>
      </c>
      <c r="G137" s="280">
        <v>1</v>
      </c>
      <c r="H137" s="316">
        <f>'Key Assumptions + Summary'!$D$61</f>
        <v>45292</v>
      </c>
      <c r="I137" s="10"/>
      <c r="J137" s="10"/>
      <c r="K137" s="82"/>
      <c r="L137" s="171"/>
      <c r="M137" s="171"/>
      <c r="N137" s="171"/>
      <c r="O137" s="171"/>
      <c r="P137" s="171"/>
      <c r="Q137" s="171"/>
      <c r="R137" s="171"/>
      <c r="S137" s="171"/>
      <c r="T137" s="171"/>
      <c r="U137" s="171"/>
      <c r="V137" s="171"/>
      <c r="W137" s="171"/>
      <c r="X137" s="171"/>
      <c r="Y137" s="171"/>
      <c r="Z137" s="171"/>
      <c r="AA137" s="171"/>
      <c r="AB137" s="171"/>
      <c r="AC137" s="171"/>
      <c r="AD137" s="171"/>
      <c r="AE137" s="171"/>
      <c r="AF137" s="171"/>
      <c r="AG137" s="171"/>
      <c r="AH137" s="171"/>
      <c r="AI137" s="171"/>
      <c r="AJ137" s="171"/>
      <c r="AK137" s="171"/>
      <c r="AL137" s="171"/>
      <c r="AM137" s="171"/>
      <c r="AN137" s="171"/>
      <c r="AO137" s="171"/>
      <c r="AP137" s="171"/>
      <c r="AQ137" s="171"/>
      <c r="AR137" s="171"/>
      <c r="AS137" s="171"/>
      <c r="AT137" s="171"/>
      <c r="AU137" s="171"/>
      <c r="AV137" s="82"/>
      <c r="AW137" s="136">
        <f>IF($H$137&lt;=AW$13,$G$137,0)</f>
        <v>1</v>
      </c>
      <c r="AX137" s="136">
        <f t="shared" ref="AX137:BG137" si="42">IF($H$137&lt;=AX$13,$G$137,0)</f>
        <v>1</v>
      </c>
      <c r="AY137" s="136">
        <f t="shared" si="42"/>
        <v>1</v>
      </c>
      <c r="AZ137" s="136">
        <f t="shared" si="42"/>
        <v>1</v>
      </c>
      <c r="BA137" s="136">
        <f t="shared" si="42"/>
        <v>1</v>
      </c>
      <c r="BB137" s="136">
        <f t="shared" si="42"/>
        <v>1</v>
      </c>
      <c r="BC137" s="136">
        <f t="shared" si="42"/>
        <v>1</v>
      </c>
      <c r="BD137" s="136">
        <f t="shared" si="42"/>
        <v>1</v>
      </c>
      <c r="BF137" s="136">
        <f t="shared" si="42"/>
        <v>1</v>
      </c>
      <c r="BG137" s="136">
        <f t="shared" si="42"/>
        <v>1</v>
      </c>
      <c r="BH137" s="136">
        <f t="shared" ref="BH137:BJ138" si="43">BG137</f>
        <v>1</v>
      </c>
      <c r="BI137" s="136">
        <f t="shared" si="43"/>
        <v>1</v>
      </c>
      <c r="BJ137" s="136">
        <f t="shared" si="43"/>
        <v>1</v>
      </c>
    </row>
    <row r="138" spans="3:62" x14ac:dyDescent="0.2">
      <c r="C138" s="23" t="s">
        <v>462</v>
      </c>
      <c r="D138" s="10"/>
      <c r="E138" s="10"/>
      <c r="F138" s="10"/>
      <c r="G138" s="280">
        <v>1</v>
      </c>
      <c r="H138" s="316">
        <f>'Key Assumptions + Summary'!$D$66</f>
        <v>45383</v>
      </c>
      <c r="I138" s="10"/>
      <c r="J138" s="10"/>
      <c r="K138" s="10"/>
      <c r="L138" s="171"/>
      <c r="M138" s="171"/>
      <c r="N138" s="171"/>
      <c r="O138" s="171"/>
      <c r="P138" s="171"/>
      <c r="Q138" s="171"/>
      <c r="R138" s="171"/>
      <c r="S138" s="171"/>
      <c r="T138" s="171"/>
      <c r="U138" s="171"/>
      <c r="V138" s="171"/>
      <c r="W138" s="171"/>
      <c r="X138" s="171"/>
      <c r="Y138" s="171"/>
      <c r="Z138" s="171"/>
      <c r="AA138" s="171"/>
      <c r="AB138" s="171"/>
      <c r="AC138" s="171"/>
      <c r="AD138" s="171"/>
      <c r="AE138" s="171"/>
      <c r="AF138" s="171"/>
      <c r="AG138" s="171"/>
      <c r="AH138" s="171"/>
      <c r="AI138" s="171"/>
      <c r="AJ138" s="171"/>
      <c r="AK138" s="171"/>
      <c r="AL138" s="171"/>
      <c r="AM138" s="171"/>
      <c r="AN138" s="171"/>
      <c r="AO138" s="171"/>
      <c r="AP138" s="171"/>
      <c r="AQ138" s="171"/>
      <c r="AR138" s="171"/>
      <c r="AS138" s="171"/>
      <c r="AT138" s="171"/>
      <c r="AU138" s="171"/>
      <c r="AW138" s="136">
        <f>IF($H$138&lt;=AW$13,$G$138,0)</f>
        <v>0</v>
      </c>
      <c r="AX138" s="136">
        <f t="shared" ref="AX138:BG138" si="44">IF($H$138&lt;=AX$13,$G$138,0)</f>
        <v>1</v>
      </c>
      <c r="AY138" s="136">
        <f t="shared" si="44"/>
        <v>1</v>
      </c>
      <c r="AZ138" s="136">
        <f t="shared" si="44"/>
        <v>1</v>
      </c>
      <c r="BA138" s="136">
        <f t="shared" si="44"/>
        <v>1</v>
      </c>
      <c r="BB138" s="136">
        <f t="shared" si="44"/>
        <v>1</v>
      </c>
      <c r="BC138" s="136">
        <f t="shared" si="44"/>
        <v>1</v>
      </c>
      <c r="BD138" s="136">
        <f t="shared" si="44"/>
        <v>1</v>
      </c>
      <c r="BF138" s="136">
        <f t="shared" si="44"/>
        <v>1</v>
      </c>
      <c r="BG138" s="136">
        <f t="shared" si="44"/>
        <v>1</v>
      </c>
      <c r="BH138" s="136">
        <f t="shared" si="43"/>
        <v>1</v>
      </c>
      <c r="BI138" s="136">
        <f t="shared" si="43"/>
        <v>1</v>
      </c>
      <c r="BJ138" s="136">
        <f t="shared" si="43"/>
        <v>1</v>
      </c>
    </row>
    <row r="139" spans="3:62" x14ac:dyDescent="0.2">
      <c r="C139" s="23" t="s">
        <v>463</v>
      </c>
      <c r="D139" s="10"/>
      <c r="E139" s="10"/>
      <c r="F139" s="10"/>
      <c r="G139" s="317"/>
      <c r="H139" s="318"/>
      <c r="I139" s="10"/>
      <c r="J139" s="10"/>
      <c r="K139" s="10"/>
      <c r="L139" s="171"/>
      <c r="M139" s="171"/>
      <c r="N139" s="171"/>
      <c r="O139" s="171"/>
      <c r="P139" s="171"/>
      <c r="Q139" s="171"/>
      <c r="R139" s="171"/>
      <c r="S139" s="171"/>
      <c r="T139" s="171"/>
      <c r="U139" s="171"/>
      <c r="V139" s="171"/>
      <c r="W139" s="171"/>
      <c r="X139" s="171"/>
      <c r="Y139" s="171"/>
      <c r="Z139" s="171"/>
      <c r="AA139" s="171"/>
      <c r="AB139" s="171"/>
      <c r="AC139" s="171"/>
      <c r="AD139" s="171"/>
      <c r="AE139" s="171"/>
      <c r="AF139" s="171"/>
      <c r="AG139" s="171"/>
      <c r="AH139" s="171"/>
      <c r="AI139" s="171"/>
      <c r="AJ139" s="171"/>
      <c r="AK139" s="171"/>
      <c r="AL139" s="171"/>
      <c r="AM139" s="171"/>
      <c r="AN139" s="171"/>
      <c r="AO139" s="171"/>
      <c r="AP139" s="171"/>
      <c r="AQ139" s="171"/>
      <c r="AR139" s="171"/>
      <c r="AS139" s="171"/>
      <c r="AT139" s="171"/>
      <c r="AU139" s="171"/>
      <c r="AW139" s="281">
        <f>IF(AW134&gt;AW138,AW134-AW138,0)</f>
        <v>1</v>
      </c>
      <c r="AX139" s="281">
        <f t="shared" ref="AX139:BD139" si="45">IF(AX134&gt;AX138,AX134-AX138,0)</f>
        <v>0</v>
      </c>
      <c r="AY139" s="281">
        <f t="shared" si="45"/>
        <v>0</v>
      </c>
      <c r="AZ139" s="281">
        <f t="shared" si="45"/>
        <v>0</v>
      </c>
      <c r="BA139" s="281">
        <f t="shared" si="45"/>
        <v>0</v>
      </c>
      <c r="BB139" s="281">
        <f t="shared" si="45"/>
        <v>0</v>
      </c>
      <c r="BC139" s="281">
        <f t="shared" si="45"/>
        <v>0</v>
      </c>
      <c r="BD139" s="281">
        <f t="shared" si="45"/>
        <v>1</v>
      </c>
      <c r="BF139" s="281">
        <f t="shared" ref="BF139" si="46">IF(BF134&gt;BF138,BF134-BF138,0)</f>
        <v>0</v>
      </c>
      <c r="BG139" s="281">
        <f t="shared" ref="BG139" si="47">IF(BG134&gt;BG138,BG134-BG138,0)</f>
        <v>1</v>
      </c>
      <c r="BH139" s="281">
        <f t="shared" ref="BH139" si="48">IF(BH134&gt;BH138,BH134-BH138,0)</f>
        <v>2</v>
      </c>
      <c r="BI139" s="281">
        <f t="shared" ref="BI139" si="49">IF(BI134&gt;BI138,BI134-BI138,0)</f>
        <v>4</v>
      </c>
      <c r="BJ139" s="281">
        <f t="shared" ref="BJ139" si="50">IF(BJ134&gt;BJ138,BJ134-BJ138,0)</f>
        <v>8</v>
      </c>
    </row>
    <row r="140" spans="3:62" x14ac:dyDescent="0.2">
      <c r="C140" s="26" t="s">
        <v>409</v>
      </c>
      <c r="D140" s="10"/>
      <c r="E140" s="10"/>
      <c r="F140" s="10"/>
      <c r="G140" s="10"/>
      <c r="H140" s="10"/>
      <c r="I140" s="10"/>
      <c r="J140" s="10"/>
      <c r="K140" s="10"/>
      <c r="L140" s="171"/>
      <c r="M140" s="171"/>
      <c r="N140" s="171"/>
      <c r="O140" s="171"/>
      <c r="P140" s="171"/>
      <c r="Q140" s="171"/>
      <c r="R140" s="171"/>
      <c r="S140" s="171"/>
      <c r="T140" s="171"/>
      <c r="U140" s="171"/>
      <c r="V140" s="171"/>
      <c r="W140" s="171"/>
      <c r="X140" s="171"/>
      <c r="Y140" s="171"/>
      <c r="Z140" s="171"/>
      <c r="AA140" s="171"/>
      <c r="AB140" s="171"/>
      <c r="AC140" s="171"/>
      <c r="AD140" s="171"/>
      <c r="AE140" s="171"/>
      <c r="AF140" s="171"/>
      <c r="AG140" s="171"/>
      <c r="AH140" s="171"/>
      <c r="AI140" s="171"/>
      <c r="AJ140" s="171"/>
      <c r="AK140" s="171"/>
      <c r="AL140" s="171"/>
      <c r="AM140" s="171"/>
      <c r="AN140" s="171"/>
      <c r="AO140" s="171"/>
      <c r="AP140" s="171"/>
      <c r="AQ140" s="171"/>
      <c r="AR140" s="171"/>
      <c r="AS140" s="171"/>
      <c r="AT140" s="171"/>
      <c r="AU140" s="171"/>
      <c r="AW140" s="66">
        <f>SUM(AW137:AW139)</f>
        <v>2</v>
      </c>
      <c r="AX140" s="66">
        <f t="shared" ref="AX140:BD140" si="51">SUM(AX137:AX139)</f>
        <v>2</v>
      </c>
      <c r="AY140" s="66">
        <f t="shared" si="51"/>
        <v>2</v>
      </c>
      <c r="AZ140" s="66">
        <f t="shared" si="51"/>
        <v>2</v>
      </c>
      <c r="BA140" s="66">
        <f t="shared" si="51"/>
        <v>2</v>
      </c>
      <c r="BB140" s="66">
        <f t="shared" si="51"/>
        <v>2</v>
      </c>
      <c r="BC140" s="66">
        <f t="shared" si="51"/>
        <v>2</v>
      </c>
      <c r="BD140" s="66">
        <f t="shared" si="51"/>
        <v>3</v>
      </c>
      <c r="BF140" s="66">
        <f t="shared" ref="BF140" si="52">SUM(BF137:BF139)</f>
        <v>2</v>
      </c>
      <c r="BG140" s="66">
        <f t="shared" ref="BG140" si="53">SUM(BG137:BG139)</f>
        <v>3</v>
      </c>
      <c r="BH140" s="66">
        <f t="shared" ref="BH140" si="54">SUM(BH137:BH139)</f>
        <v>4</v>
      </c>
      <c r="BI140" s="66">
        <f t="shared" ref="BI140" si="55">SUM(BI137:BI139)</f>
        <v>6</v>
      </c>
      <c r="BJ140" s="66">
        <f t="shared" ref="BJ140" si="56">SUM(BJ137:BJ139)</f>
        <v>10</v>
      </c>
    </row>
    <row r="141" spans="3:62" x14ac:dyDescent="0.2">
      <c r="C141" s="22"/>
      <c r="D141" s="10"/>
      <c r="E141" s="10"/>
      <c r="F141" s="10"/>
      <c r="G141" s="10"/>
      <c r="H141" s="10"/>
      <c r="I141" s="10"/>
      <c r="J141" s="10"/>
      <c r="K141" s="10"/>
      <c r="L141" s="171"/>
      <c r="M141" s="171"/>
      <c r="N141" s="171"/>
      <c r="O141" s="171"/>
      <c r="P141" s="171"/>
      <c r="Q141" s="171"/>
      <c r="R141" s="171"/>
      <c r="S141" s="171"/>
      <c r="T141" s="171"/>
      <c r="U141" s="171"/>
      <c r="V141" s="171"/>
      <c r="W141" s="171"/>
      <c r="X141" s="171"/>
      <c r="Y141" s="171"/>
      <c r="Z141" s="171"/>
      <c r="AA141" s="171"/>
      <c r="AB141" s="171"/>
      <c r="AC141" s="171"/>
      <c r="AD141" s="171"/>
      <c r="AE141" s="171"/>
      <c r="AF141" s="171"/>
      <c r="AG141" s="171"/>
      <c r="AH141" s="171"/>
      <c r="AI141" s="171"/>
      <c r="AJ141" s="171"/>
      <c r="AK141" s="171"/>
      <c r="AL141" s="171"/>
      <c r="AM141" s="171"/>
      <c r="AN141" s="171"/>
      <c r="AO141" s="171"/>
      <c r="AP141" s="171"/>
      <c r="AQ141" s="171"/>
      <c r="AR141" s="171"/>
      <c r="AS141" s="171"/>
      <c r="AT141" s="171"/>
      <c r="AU141" s="171"/>
      <c r="AW141" s="10"/>
      <c r="AX141" s="10"/>
      <c r="AY141" s="10"/>
      <c r="AZ141" s="10"/>
      <c r="BA141" s="10"/>
      <c r="BB141" s="10"/>
      <c r="BC141" s="10"/>
      <c r="BD141" s="10"/>
      <c r="BF141" s="10"/>
      <c r="BG141" s="10"/>
      <c r="BH141" s="10"/>
      <c r="BI141" s="10"/>
      <c r="BJ141" s="10"/>
    </row>
    <row r="142" spans="3:62" x14ac:dyDescent="0.2">
      <c r="C142" s="22" t="s">
        <v>410</v>
      </c>
      <c r="D142" s="10"/>
      <c r="E142" s="10"/>
      <c r="F142" s="10" t="s">
        <v>382</v>
      </c>
      <c r="G142" s="10" t="s">
        <v>422</v>
      </c>
      <c r="H142" s="10"/>
      <c r="I142" s="10"/>
      <c r="J142" s="10"/>
      <c r="K142" s="10"/>
      <c r="L142" s="171"/>
      <c r="M142" s="171"/>
      <c r="N142" s="171"/>
      <c r="O142" s="171"/>
      <c r="P142" s="171"/>
      <c r="Q142" s="171"/>
      <c r="R142" s="171"/>
      <c r="S142" s="171"/>
      <c r="T142" s="171"/>
      <c r="U142" s="171"/>
      <c r="V142" s="171"/>
      <c r="W142" s="171"/>
      <c r="X142" s="171"/>
      <c r="Y142" s="171"/>
      <c r="Z142" s="171"/>
      <c r="AA142" s="171"/>
      <c r="AB142" s="171"/>
      <c r="AC142" s="171"/>
      <c r="AD142" s="171"/>
      <c r="AE142" s="171"/>
      <c r="AF142" s="171"/>
      <c r="AG142" s="171"/>
      <c r="AH142" s="171"/>
      <c r="AI142" s="171"/>
      <c r="AJ142" s="171"/>
      <c r="AK142" s="171"/>
      <c r="AL142" s="171"/>
      <c r="AM142" s="171"/>
      <c r="AN142" s="171"/>
      <c r="AO142" s="171"/>
      <c r="AP142" s="171"/>
      <c r="AQ142" s="171"/>
      <c r="AR142" s="171"/>
      <c r="AS142" s="171"/>
      <c r="AT142" s="171"/>
      <c r="AU142" s="171"/>
      <c r="AW142" s="10"/>
      <c r="AX142" s="10"/>
      <c r="AY142" s="10"/>
      <c r="AZ142" s="10"/>
      <c r="BA142" s="10"/>
      <c r="BB142" s="10"/>
      <c r="BC142" s="10"/>
      <c r="BD142" s="10"/>
      <c r="BF142" s="10"/>
      <c r="BG142" s="10"/>
      <c r="BH142" s="10"/>
      <c r="BI142" s="10"/>
      <c r="BJ142" s="10"/>
    </row>
    <row r="143" spans="3:62" x14ac:dyDescent="0.2">
      <c r="C143" s="23" t="s">
        <v>407</v>
      </c>
      <c r="D143" s="10"/>
      <c r="E143" s="10"/>
      <c r="F143" s="252">
        <f>'Key Assumptions + Summary'!$D$60</f>
        <v>140000</v>
      </c>
      <c r="G143" s="83">
        <f>F143/4</f>
        <v>35000</v>
      </c>
      <c r="H143" s="10"/>
      <c r="I143" s="10"/>
      <c r="J143" s="10"/>
      <c r="K143" s="10"/>
      <c r="L143" s="171"/>
      <c r="M143" s="171"/>
      <c r="N143" s="171"/>
      <c r="O143" s="171"/>
      <c r="P143" s="171"/>
      <c r="Q143" s="171"/>
      <c r="R143" s="171"/>
      <c r="S143" s="171"/>
      <c r="T143" s="171"/>
      <c r="U143" s="171"/>
      <c r="V143" s="171"/>
      <c r="W143" s="171"/>
      <c r="X143" s="171"/>
      <c r="Y143" s="171"/>
      <c r="Z143" s="171"/>
      <c r="AA143" s="171"/>
      <c r="AB143" s="171"/>
      <c r="AC143" s="171"/>
      <c r="AD143" s="171"/>
      <c r="AE143" s="171"/>
      <c r="AF143" s="171"/>
      <c r="AG143" s="171"/>
      <c r="AH143" s="171"/>
      <c r="AI143" s="171"/>
      <c r="AJ143" s="171"/>
      <c r="AK143" s="171"/>
      <c r="AL143" s="171"/>
      <c r="AM143" s="171"/>
      <c r="AN143" s="171"/>
      <c r="AO143" s="171"/>
      <c r="AP143" s="171"/>
      <c r="AQ143" s="171"/>
      <c r="AR143" s="171"/>
      <c r="AS143" s="171"/>
      <c r="AT143" s="171"/>
      <c r="AU143" s="171"/>
      <c r="AW143" s="281">
        <f t="shared" ref="AW143:BD145" si="57">AW137*$G143</f>
        <v>35000</v>
      </c>
      <c r="AX143" s="281">
        <f t="shared" si="57"/>
        <v>35000</v>
      </c>
      <c r="AY143" s="281">
        <f t="shared" si="57"/>
        <v>35000</v>
      </c>
      <c r="AZ143" s="281">
        <f t="shared" si="57"/>
        <v>35000</v>
      </c>
      <c r="BA143" s="281">
        <f t="shared" si="57"/>
        <v>35000</v>
      </c>
      <c r="BB143" s="281">
        <f t="shared" si="57"/>
        <v>35000</v>
      </c>
      <c r="BC143" s="281">
        <f t="shared" si="57"/>
        <v>35000</v>
      </c>
      <c r="BD143" s="281">
        <f t="shared" si="57"/>
        <v>35000</v>
      </c>
      <c r="BF143" s="24">
        <f t="shared" ref="BF143:BG146" si="58">SUMIFS($AW143:$BD143,$AW$11:$BD$11,"&gt;"&amp;BE$11,$AW$11:$BD$11,"&lt;="&amp;BF$11)</f>
        <v>140000</v>
      </c>
      <c r="BG143" s="24">
        <f t="shared" si="58"/>
        <v>140000</v>
      </c>
      <c r="BH143" s="281">
        <f t="shared" ref="BH143:BJ145" si="59">BH137*$F143</f>
        <v>140000</v>
      </c>
      <c r="BI143" s="281">
        <f t="shared" si="59"/>
        <v>140000</v>
      </c>
      <c r="BJ143" s="281">
        <f t="shared" si="59"/>
        <v>140000</v>
      </c>
    </row>
    <row r="144" spans="3:62" x14ac:dyDescent="0.2">
      <c r="C144" s="23" t="s">
        <v>464</v>
      </c>
      <c r="D144" s="10"/>
      <c r="E144" s="10"/>
      <c r="F144" s="252">
        <f>'Key Assumptions + Summary'!$D$65</f>
        <v>75000</v>
      </c>
      <c r="G144" s="83">
        <f>F144/4</f>
        <v>18750</v>
      </c>
      <c r="H144" s="10"/>
      <c r="I144" s="10"/>
      <c r="J144" s="10"/>
      <c r="K144" s="10"/>
      <c r="L144" s="171"/>
      <c r="M144" s="171"/>
      <c r="N144" s="171"/>
      <c r="O144" s="171"/>
      <c r="P144" s="171"/>
      <c r="Q144" s="171"/>
      <c r="R144" s="171"/>
      <c r="S144" s="171"/>
      <c r="T144" s="171"/>
      <c r="U144" s="171"/>
      <c r="V144" s="171"/>
      <c r="W144" s="171"/>
      <c r="X144" s="171"/>
      <c r="Y144" s="171"/>
      <c r="Z144" s="171"/>
      <c r="AA144" s="171"/>
      <c r="AB144" s="171"/>
      <c r="AC144" s="171"/>
      <c r="AD144" s="171"/>
      <c r="AE144" s="171"/>
      <c r="AF144" s="171"/>
      <c r="AG144" s="171"/>
      <c r="AH144" s="171"/>
      <c r="AI144" s="171"/>
      <c r="AJ144" s="171"/>
      <c r="AK144" s="171"/>
      <c r="AL144" s="171"/>
      <c r="AM144" s="171"/>
      <c r="AN144" s="171"/>
      <c r="AO144" s="171"/>
      <c r="AP144" s="171"/>
      <c r="AQ144" s="171"/>
      <c r="AR144" s="171"/>
      <c r="AS144" s="171"/>
      <c r="AT144" s="171"/>
      <c r="AU144" s="171"/>
      <c r="AW144" s="281">
        <f t="shared" si="57"/>
        <v>0</v>
      </c>
      <c r="AX144" s="281">
        <f t="shared" si="57"/>
        <v>18750</v>
      </c>
      <c r="AY144" s="281">
        <f t="shared" si="57"/>
        <v>18750</v>
      </c>
      <c r="AZ144" s="281">
        <f t="shared" si="57"/>
        <v>18750</v>
      </c>
      <c r="BA144" s="281">
        <f t="shared" si="57"/>
        <v>18750</v>
      </c>
      <c r="BB144" s="281">
        <f t="shared" si="57"/>
        <v>18750</v>
      </c>
      <c r="BC144" s="281">
        <f t="shared" si="57"/>
        <v>18750</v>
      </c>
      <c r="BD144" s="281">
        <f t="shared" si="57"/>
        <v>18750</v>
      </c>
      <c r="BF144" s="24">
        <f t="shared" si="58"/>
        <v>56250</v>
      </c>
      <c r="BG144" s="24">
        <f t="shared" si="58"/>
        <v>75000</v>
      </c>
      <c r="BH144" s="281">
        <f t="shared" si="59"/>
        <v>75000</v>
      </c>
      <c r="BI144" s="281">
        <f t="shared" si="59"/>
        <v>75000</v>
      </c>
      <c r="BJ144" s="281">
        <f t="shared" si="59"/>
        <v>75000</v>
      </c>
    </row>
    <row r="145" spans="3:62" x14ac:dyDescent="0.2">
      <c r="C145" s="23" t="s">
        <v>463</v>
      </c>
      <c r="D145" s="10"/>
      <c r="E145" s="10"/>
      <c r="F145" s="252">
        <f>'Key Assumptions + Summary'!$D$65</f>
        <v>75000</v>
      </c>
      <c r="G145" s="83">
        <f>F145/4</f>
        <v>18750</v>
      </c>
      <c r="H145" s="10"/>
      <c r="I145" s="10"/>
      <c r="J145" s="10"/>
      <c r="K145" s="10"/>
      <c r="L145" s="171"/>
      <c r="M145" s="171"/>
      <c r="N145" s="171"/>
      <c r="O145" s="171"/>
      <c r="P145" s="171"/>
      <c r="Q145" s="171"/>
      <c r="R145" s="171"/>
      <c r="S145" s="171"/>
      <c r="T145" s="171"/>
      <c r="U145" s="171"/>
      <c r="V145" s="171"/>
      <c r="W145" s="171"/>
      <c r="X145" s="171"/>
      <c r="Y145" s="171"/>
      <c r="Z145" s="171"/>
      <c r="AA145" s="171"/>
      <c r="AB145" s="171"/>
      <c r="AC145" s="171"/>
      <c r="AD145" s="171"/>
      <c r="AE145" s="171"/>
      <c r="AF145" s="171"/>
      <c r="AG145" s="171"/>
      <c r="AH145" s="171"/>
      <c r="AI145" s="171"/>
      <c r="AJ145" s="171"/>
      <c r="AK145" s="171"/>
      <c r="AL145" s="171"/>
      <c r="AM145" s="171"/>
      <c r="AN145" s="171"/>
      <c r="AO145" s="171"/>
      <c r="AP145" s="171"/>
      <c r="AQ145" s="171"/>
      <c r="AR145" s="171"/>
      <c r="AS145" s="171"/>
      <c r="AT145" s="171"/>
      <c r="AU145" s="171"/>
      <c r="AW145" s="281">
        <f t="shared" si="57"/>
        <v>18750</v>
      </c>
      <c r="AX145" s="281">
        <f t="shared" si="57"/>
        <v>0</v>
      </c>
      <c r="AY145" s="281">
        <f t="shared" si="57"/>
        <v>0</v>
      </c>
      <c r="AZ145" s="281">
        <f t="shared" si="57"/>
        <v>0</v>
      </c>
      <c r="BA145" s="281">
        <f t="shared" si="57"/>
        <v>0</v>
      </c>
      <c r="BB145" s="281">
        <f t="shared" si="57"/>
        <v>0</v>
      </c>
      <c r="BC145" s="281">
        <f t="shared" si="57"/>
        <v>0</v>
      </c>
      <c r="BD145" s="281">
        <f t="shared" si="57"/>
        <v>18750</v>
      </c>
      <c r="BF145" s="24">
        <f t="shared" ref="BF145" si="60">SUMIFS($AW145:$BD145,$AW$11:$BD$11,"&gt;"&amp;BE$11,$AW$11:$BD$11,"&lt;="&amp;BF$11)</f>
        <v>18750</v>
      </c>
      <c r="BG145" s="24">
        <f t="shared" ref="BG145" si="61">SUMIFS($AW145:$BD145,$AW$11:$BD$11,"&gt;"&amp;BF$11,$AW$11:$BD$11,"&lt;="&amp;BG$11)</f>
        <v>18750</v>
      </c>
      <c r="BH145" s="281">
        <f t="shared" si="59"/>
        <v>150000</v>
      </c>
      <c r="BI145" s="281">
        <f t="shared" si="59"/>
        <v>300000</v>
      </c>
      <c r="BJ145" s="281">
        <f t="shared" si="59"/>
        <v>600000</v>
      </c>
    </row>
    <row r="146" spans="3:62" x14ac:dyDescent="0.2">
      <c r="C146" s="26" t="s">
        <v>431</v>
      </c>
      <c r="D146" s="10"/>
      <c r="E146" s="10"/>
      <c r="F146" s="10"/>
      <c r="G146" s="10"/>
      <c r="H146" s="10"/>
      <c r="I146" s="10"/>
      <c r="J146" s="10"/>
      <c r="K146" s="10"/>
      <c r="L146" s="171"/>
      <c r="M146" s="171"/>
      <c r="N146" s="171"/>
      <c r="O146" s="171"/>
      <c r="P146" s="171"/>
      <c r="Q146" s="171"/>
      <c r="R146" s="171"/>
      <c r="S146" s="171"/>
      <c r="T146" s="171"/>
      <c r="U146" s="171"/>
      <c r="V146" s="171"/>
      <c r="W146" s="171"/>
      <c r="X146" s="171"/>
      <c r="Y146" s="171"/>
      <c r="Z146" s="171"/>
      <c r="AA146" s="171"/>
      <c r="AB146" s="171"/>
      <c r="AC146" s="171"/>
      <c r="AD146" s="171"/>
      <c r="AE146" s="171"/>
      <c r="AF146" s="171"/>
      <c r="AG146" s="171"/>
      <c r="AH146" s="171"/>
      <c r="AI146" s="171"/>
      <c r="AJ146" s="171"/>
      <c r="AK146" s="171"/>
      <c r="AL146" s="171"/>
      <c r="AM146" s="171"/>
      <c r="AN146" s="171"/>
      <c r="AO146" s="171"/>
      <c r="AP146" s="171"/>
      <c r="AQ146" s="171"/>
      <c r="AR146" s="171"/>
      <c r="AS146" s="171"/>
      <c r="AT146" s="171"/>
      <c r="AU146" s="171"/>
      <c r="AW146" s="66">
        <f>SUM(AW143:AW145)</f>
        <v>53750</v>
      </c>
      <c r="AX146" s="66">
        <f t="shared" ref="AX146:BD146" si="62">SUM(AX143:AX145)</f>
        <v>53750</v>
      </c>
      <c r="AY146" s="66">
        <f t="shared" si="62"/>
        <v>53750</v>
      </c>
      <c r="AZ146" s="66">
        <f t="shared" si="62"/>
        <v>53750</v>
      </c>
      <c r="BA146" s="66">
        <f t="shared" si="62"/>
        <v>53750</v>
      </c>
      <c r="BB146" s="66">
        <f t="shared" si="62"/>
        <v>53750</v>
      </c>
      <c r="BC146" s="66">
        <f t="shared" si="62"/>
        <v>53750</v>
      </c>
      <c r="BD146" s="66">
        <f t="shared" si="62"/>
        <v>72500</v>
      </c>
      <c r="BF146" s="25">
        <f t="shared" si="58"/>
        <v>215000</v>
      </c>
      <c r="BG146" s="25">
        <f t="shared" si="58"/>
        <v>233750</v>
      </c>
      <c r="BH146" s="66">
        <f>SUM(BH143:BH144)</f>
        <v>215000</v>
      </c>
      <c r="BI146" s="66">
        <f>SUM(BI143:BI144)</f>
        <v>215000</v>
      </c>
      <c r="BJ146" s="66">
        <f>SUM(BJ143:BJ144)</f>
        <v>215000</v>
      </c>
    </row>
    <row r="147" spans="3:62" x14ac:dyDescent="0.2">
      <c r="C147" s="22"/>
      <c r="D147" s="10"/>
      <c r="E147" s="10"/>
      <c r="F147" s="10"/>
      <c r="G147" s="10"/>
      <c r="H147" s="10"/>
      <c r="I147" s="10"/>
      <c r="J147" s="10"/>
      <c r="K147" s="10"/>
      <c r="L147" s="171"/>
      <c r="M147" s="171"/>
      <c r="N147" s="171"/>
      <c r="O147" s="171"/>
      <c r="P147" s="171"/>
      <c r="Q147" s="171"/>
      <c r="R147" s="171"/>
      <c r="S147" s="171"/>
      <c r="T147" s="171"/>
      <c r="U147" s="171"/>
      <c r="V147" s="171"/>
      <c r="W147" s="171"/>
      <c r="X147" s="171"/>
      <c r="Y147" s="171"/>
      <c r="Z147" s="171"/>
      <c r="AA147" s="171"/>
      <c r="AB147" s="171"/>
      <c r="AC147" s="171"/>
      <c r="AD147" s="171"/>
      <c r="AE147" s="171"/>
      <c r="AF147" s="171"/>
      <c r="AG147" s="171"/>
      <c r="AH147" s="171"/>
      <c r="AI147" s="171"/>
      <c r="AJ147" s="171"/>
      <c r="AK147" s="171"/>
      <c r="AL147" s="171"/>
      <c r="AM147" s="171"/>
      <c r="AN147" s="171"/>
      <c r="AO147" s="171"/>
      <c r="AP147" s="171"/>
      <c r="AQ147" s="171"/>
      <c r="AR147" s="171"/>
      <c r="AS147" s="171"/>
      <c r="AT147" s="171"/>
      <c r="AU147" s="171"/>
      <c r="AW147" s="10"/>
      <c r="AX147" s="10"/>
      <c r="AY147" s="10"/>
      <c r="AZ147" s="10"/>
      <c r="BA147" s="10"/>
      <c r="BB147" s="10"/>
      <c r="BC147" s="10"/>
      <c r="BD147" s="10"/>
      <c r="BF147" s="10"/>
      <c r="BG147" s="10"/>
      <c r="BH147" s="10"/>
      <c r="BI147" s="10"/>
      <c r="BJ147" s="10"/>
    </row>
    <row r="148" spans="3:62" x14ac:dyDescent="0.2">
      <c r="C148" s="22" t="s">
        <v>417</v>
      </c>
      <c r="D148" s="10"/>
      <c r="E148" s="10"/>
      <c r="F148" s="10"/>
      <c r="G148" s="10"/>
      <c r="H148" s="10"/>
      <c r="I148" s="10"/>
      <c r="J148" s="10"/>
      <c r="K148" s="10"/>
      <c r="L148" s="171"/>
      <c r="M148" s="171"/>
      <c r="N148" s="171"/>
      <c r="O148" s="171"/>
      <c r="P148" s="171"/>
      <c r="Q148" s="171"/>
      <c r="R148" s="171"/>
      <c r="S148" s="171"/>
      <c r="T148" s="171"/>
      <c r="U148" s="171"/>
      <c r="V148" s="171"/>
      <c r="W148" s="171"/>
      <c r="X148" s="171"/>
      <c r="Y148" s="171"/>
      <c r="Z148" s="171"/>
      <c r="AA148" s="171"/>
      <c r="AB148" s="171"/>
      <c r="AC148" s="171"/>
      <c r="AD148" s="171"/>
      <c r="AE148" s="171"/>
      <c r="AF148" s="171"/>
      <c r="AG148" s="171"/>
      <c r="AH148" s="171"/>
      <c r="AI148" s="171"/>
      <c r="AJ148" s="171"/>
      <c r="AK148" s="171"/>
      <c r="AL148" s="171"/>
      <c r="AM148" s="171"/>
      <c r="AN148" s="171"/>
      <c r="AO148" s="171"/>
      <c r="AP148" s="171"/>
      <c r="AQ148" s="171"/>
      <c r="AR148" s="171"/>
      <c r="AS148" s="171"/>
      <c r="AT148" s="171"/>
      <c r="AU148" s="171"/>
      <c r="AW148" s="10"/>
      <c r="AX148" s="10"/>
      <c r="AY148" s="10"/>
      <c r="AZ148" s="10"/>
      <c r="BA148" s="10"/>
      <c r="BB148" s="10"/>
      <c r="BC148" s="10"/>
      <c r="BD148" s="10"/>
      <c r="BF148" s="10"/>
      <c r="BG148" s="10"/>
      <c r="BH148" s="10"/>
      <c r="BI148" s="10"/>
      <c r="BJ148" s="10"/>
    </row>
    <row r="149" spans="3:62" x14ac:dyDescent="0.2">
      <c r="C149" s="23" t="s">
        <v>416</v>
      </c>
      <c r="D149" s="10"/>
      <c r="E149" s="10"/>
      <c r="F149" s="94"/>
      <c r="G149" s="175"/>
      <c r="H149" s="10"/>
      <c r="I149" s="10"/>
      <c r="J149" s="10"/>
      <c r="K149" s="10"/>
      <c r="L149" s="171"/>
      <c r="M149" s="171"/>
      <c r="N149" s="171"/>
      <c r="O149" s="171"/>
      <c r="P149" s="171"/>
      <c r="Q149" s="171"/>
      <c r="R149" s="171"/>
      <c r="S149" s="171"/>
      <c r="T149" s="171"/>
      <c r="U149" s="171"/>
      <c r="V149" s="171"/>
      <c r="W149" s="171"/>
      <c r="X149" s="171"/>
      <c r="Y149" s="171"/>
      <c r="Z149" s="171"/>
      <c r="AA149" s="171"/>
      <c r="AB149" s="171"/>
      <c r="AC149" s="171"/>
      <c r="AD149" s="171"/>
      <c r="AE149" s="171"/>
      <c r="AF149" s="171"/>
      <c r="AG149" s="171"/>
      <c r="AH149" s="171"/>
      <c r="AI149" s="171"/>
      <c r="AJ149" s="171"/>
      <c r="AK149" s="171"/>
      <c r="AL149" s="171"/>
      <c r="AM149" s="171"/>
      <c r="AN149" s="171"/>
      <c r="AO149" s="171"/>
      <c r="AP149" s="171"/>
      <c r="AQ149" s="171"/>
      <c r="AR149" s="171"/>
      <c r="AS149" s="171"/>
      <c r="AT149" s="171"/>
      <c r="AU149" s="171"/>
      <c r="AW149" s="271">
        <f>'Key Assumptions + Summary'!$D$72</f>
        <v>0.05</v>
      </c>
      <c r="AX149" s="271">
        <f>'Key Assumptions + Summary'!$D$72</f>
        <v>0.05</v>
      </c>
      <c r="AY149" s="271">
        <f>'Key Assumptions + Summary'!$D$72</f>
        <v>0.05</v>
      </c>
      <c r="AZ149" s="271">
        <f>'Key Assumptions + Summary'!$D$72</f>
        <v>0.05</v>
      </c>
      <c r="BA149" s="271">
        <f>'Key Assumptions + Summary'!$D$72</f>
        <v>0.05</v>
      </c>
      <c r="BB149" s="271">
        <f>'Key Assumptions + Summary'!$D$72</f>
        <v>0.05</v>
      </c>
      <c r="BC149" s="271">
        <f>'Key Assumptions + Summary'!$D$72</f>
        <v>0.05</v>
      </c>
      <c r="BD149" s="271">
        <f>'Key Assumptions + Summary'!$D$72</f>
        <v>0.05</v>
      </c>
      <c r="BF149" s="271">
        <f>'Key Assumptions + Summary'!$D$72</f>
        <v>0.05</v>
      </c>
      <c r="BG149" s="271">
        <f>'Key Assumptions + Summary'!$D$72</f>
        <v>0.05</v>
      </c>
      <c r="BH149" s="271">
        <f>'Key Assumptions + Summary'!$D$72</f>
        <v>0.05</v>
      </c>
      <c r="BI149" s="271">
        <f>'Key Assumptions + Summary'!$D$72</f>
        <v>0.05</v>
      </c>
      <c r="BJ149" s="271">
        <f>'Key Assumptions + Summary'!$D$72</f>
        <v>0.05</v>
      </c>
    </row>
    <row r="150" spans="3:62" x14ac:dyDescent="0.2">
      <c r="C150" s="23" t="s">
        <v>149</v>
      </c>
      <c r="D150" s="10"/>
      <c r="E150" s="10"/>
      <c r="F150" s="10"/>
      <c r="G150" s="10"/>
      <c r="H150" s="10"/>
      <c r="I150" s="10"/>
      <c r="J150" s="10"/>
      <c r="K150" s="10"/>
      <c r="L150" s="171"/>
      <c r="M150" s="171"/>
      <c r="N150" s="171"/>
      <c r="O150" s="171"/>
      <c r="P150" s="171"/>
      <c r="Q150" s="171"/>
      <c r="R150" s="171"/>
      <c r="S150" s="171"/>
      <c r="T150" s="171"/>
      <c r="U150" s="171"/>
      <c r="V150" s="171"/>
      <c r="W150" s="171"/>
      <c r="X150" s="171"/>
      <c r="Y150" s="171"/>
      <c r="Z150" s="171"/>
      <c r="AA150" s="171"/>
      <c r="AB150" s="171"/>
      <c r="AC150" s="171"/>
      <c r="AD150" s="171"/>
      <c r="AE150" s="171"/>
      <c r="AF150" s="171"/>
      <c r="AG150" s="171"/>
      <c r="AH150" s="171"/>
      <c r="AI150" s="171"/>
      <c r="AJ150" s="171"/>
      <c r="AK150" s="171"/>
      <c r="AL150" s="171"/>
      <c r="AM150" s="171"/>
      <c r="AN150" s="171"/>
      <c r="AO150" s="171"/>
      <c r="AP150" s="171"/>
      <c r="AQ150" s="171"/>
      <c r="AR150" s="171"/>
      <c r="AS150" s="171"/>
      <c r="AT150" s="171"/>
      <c r="AU150" s="171"/>
      <c r="AW150" s="136">
        <f t="shared" ref="AW150:BD150" si="63">AW71</f>
        <v>59899.500000000007</v>
      </c>
      <c r="AX150" s="136">
        <f t="shared" si="63"/>
        <v>233510.85</v>
      </c>
      <c r="AY150" s="136">
        <f t="shared" si="63"/>
        <v>281096.66925000004</v>
      </c>
      <c r="AZ150" s="136">
        <f t="shared" si="63"/>
        <v>493593.75000000006</v>
      </c>
      <c r="BA150" s="136">
        <f t="shared" si="63"/>
        <v>957825.00000000012</v>
      </c>
      <c r="BB150" s="136">
        <f t="shared" si="63"/>
        <v>1225813.5000000002</v>
      </c>
      <c r="BC150" s="136">
        <f t="shared" si="63"/>
        <v>1452596.6925000001</v>
      </c>
      <c r="BD150" s="136">
        <f t="shared" si="63"/>
        <v>1678725.0000000002</v>
      </c>
      <c r="BE150" s="113"/>
      <c r="BF150" s="24">
        <f>SUMIFS($AW150:$BD150,$AW$11:$BD$11,"&gt;"&amp;BE$11,$AW$11:$BD$11,"&lt;="&amp;BF$11)</f>
        <v>1068100.7692500001</v>
      </c>
      <c r="BG150" s="24">
        <f>SUMIFS($AW150:$BD150,$AW$11:$BD$11,"&gt;"&amp;BF$11,$AW$11:$BD$11,"&lt;="&amp;BG$11)</f>
        <v>5314960.1925000008</v>
      </c>
      <c r="BH150" s="136">
        <f>BH71</f>
        <v>10177650</v>
      </c>
      <c r="BI150" s="136">
        <f>BI71</f>
        <v>21051900.000000004</v>
      </c>
      <c r="BJ150" s="136">
        <f>BJ71</f>
        <v>40836150.000000007</v>
      </c>
    </row>
    <row r="151" spans="3:62" s="22" customFormat="1" x14ac:dyDescent="0.2">
      <c r="C151" s="79" t="s">
        <v>411</v>
      </c>
      <c r="D151" s="30"/>
      <c r="E151" s="30"/>
      <c r="F151" s="30"/>
      <c r="G151" s="30"/>
      <c r="H151" s="30"/>
      <c r="I151" s="30"/>
      <c r="J151" s="30"/>
      <c r="K151" s="30"/>
      <c r="L151" s="171"/>
      <c r="M151" s="171"/>
      <c r="N151" s="171"/>
      <c r="O151" s="171"/>
      <c r="P151" s="171"/>
      <c r="Q151" s="171"/>
      <c r="R151" s="171"/>
      <c r="S151" s="171"/>
      <c r="T151" s="171"/>
      <c r="U151" s="171"/>
      <c r="V151" s="171"/>
      <c r="W151" s="171"/>
      <c r="X151" s="171"/>
      <c r="Y151" s="171"/>
      <c r="Z151" s="171"/>
      <c r="AA151" s="171"/>
      <c r="AB151" s="171"/>
      <c r="AC151" s="171"/>
      <c r="AD151" s="171"/>
      <c r="AE151" s="171"/>
      <c r="AF151" s="171"/>
      <c r="AG151" s="171"/>
      <c r="AH151" s="171"/>
      <c r="AI151" s="171"/>
      <c r="AJ151" s="171"/>
      <c r="AK151" s="171"/>
      <c r="AL151" s="171"/>
      <c r="AM151" s="171"/>
      <c r="AN151" s="171"/>
      <c r="AO151" s="171"/>
      <c r="AP151" s="171"/>
      <c r="AQ151" s="171"/>
      <c r="AR151" s="171"/>
      <c r="AS151" s="171"/>
      <c r="AT151" s="171"/>
      <c r="AU151" s="171"/>
      <c r="AW151" s="66">
        <f t="shared" ref="AW151:BD151" si="64">AW150*AW149</f>
        <v>2994.9750000000004</v>
      </c>
      <c r="AX151" s="66">
        <f t="shared" si="64"/>
        <v>11675.542500000001</v>
      </c>
      <c r="AY151" s="66">
        <f t="shared" si="64"/>
        <v>14054.833462500002</v>
      </c>
      <c r="AZ151" s="66">
        <f t="shared" si="64"/>
        <v>24679.687500000004</v>
      </c>
      <c r="BA151" s="66">
        <f t="shared" si="64"/>
        <v>47891.250000000007</v>
      </c>
      <c r="BB151" s="66">
        <f t="shared" si="64"/>
        <v>61290.675000000017</v>
      </c>
      <c r="BC151" s="66">
        <f t="shared" si="64"/>
        <v>72629.834625000003</v>
      </c>
      <c r="BD151" s="66">
        <f t="shared" si="64"/>
        <v>83936.250000000015</v>
      </c>
      <c r="BF151" s="66">
        <f>BF150*BF149</f>
        <v>53405.038462500008</v>
      </c>
      <c r="BG151" s="66">
        <f>BG150*BG149</f>
        <v>265748.00962500006</v>
      </c>
      <c r="BH151" s="66">
        <f>BH150*BH149</f>
        <v>508882.5</v>
      </c>
      <c r="BI151" s="66">
        <f>BI150*BI149</f>
        <v>1052595.0000000002</v>
      </c>
      <c r="BJ151" s="66">
        <f>BJ150*BJ149</f>
        <v>2041807.5000000005</v>
      </c>
    </row>
    <row r="152" spans="3:62" x14ac:dyDescent="0.2">
      <c r="C152" s="22"/>
      <c r="D152" s="10"/>
      <c r="E152" s="10"/>
      <c r="F152" s="10"/>
      <c r="G152" s="10"/>
      <c r="H152" s="10"/>
      <c r="I152" s="10"/>
      <c r="J152" s="10"/>
      <c r="K152" s="10"/>
      <c r="L152" s="171"/>
      <c r="M152" s="171"/>
      <c r="N152" s="171"/>
      <c r="O152" s="171"/>
      <c r="P152" s="171"/>
      <c r="Q152" s="171"/>
      <c r="R152" s="171"/>
      <c r="S152" s="171"/>
      <c r="T152" s="171"/>
      <c r="U152" s="171"/>
      <c r="V152" s="171"/>
      <c r="W152" s="171"/>
      <c r="X152" s="171"/>
      <c r="Y152" s="171"/>
      <c r="Z152" s="171"/>
      <c r="AA152" s="171"/>
      <c r="AB152" s="171"/>
      <c r="AC152" s="171"/>
      <c r="AD152" s="171"/>
      <c r="AE152" s="171"/>
      <c r="AF152" s="171"/>
      <c r="AG152" s="171"/>
      <c r="AH152" s="171"/>
      <c r="AI152" s="171"/>
      <c r="AJ152" s="171"/>
      <c r="AK152" s="171"/>
      <c r="AL152" s="171"/>
      <c r="AM152" s="171"/>
      <c r="AN152" s="171"/>
      <c r="AO152" s="171"/>
      <c r="AP152" s="171"/>
      <c r="AQ152" s="171"/>
      <c r="AR152" s="171"/>
      <c r="AS152" s="171"/>
      <c r="AT152" s="171"/>
      <c r="AU152" s="171"/>
      <c r="AW152" s="10"/>
      <c r="AX152" s="10"/>
      <c r="AY152" s="10"/>
      <c r="AZ152" s="10"/>
      <c r="BA152" s="10"/>
      <c r="BB152" s="10"/>
      <c r="BC152" s="10"/>
      <c r="BD152" s="10"/>
      <c r="BF152" s="10"/>
      <c r="BG152" s="10"/>
      <c r="BH152" s="10"/>
      <c r="BI152" s="10"/>
      <c r="BJ152" s="10"/>
    </row>
    <row r="153" spans="3:62" x14ac:dyDescent="0.2">
      <c r="C153" s="23" t="s">
        <v>423</v>
      </c>
      <c r="D153" s="10"/>
      <c r="E153" s="10"/>
      <c r="F153" s="10"/>
      <c r="G153" s="10"/>
      <c r="H153" s="10"/>
      <c r="I153" s="10"/>
      <c r="J153" s="10"/>
      <c r="K153" s="10"/>
      <c r="L153" s="171"/>
      <c r="M153" s="171"/>
      <c r="N153" s="171"/>
      <c r="O153" s="171"/>
      <c r="P153" s="171"/>
      <c r="Q153" s="171"/>
      <c r="R153" s="171"/>
      <c r="S153" s="171"/>
      <c r="T153" s="171"/>
      <c r="U153" s="171"/>
      <c r="V153" s="171"/>
      <c r="W153" s="171"/>
      <c r="X153" s="171"/>
      <c r="Y153" s="171"/>
      <c r="Z153" s="171"/>
      <c r="AA153" s="171"/>
      <c r="AB153" s="171"/>
      <c r="AC153" s="171"/>
      <c r="AD153" s="171"/>
      <c r="AE153" s="171"/>
      <c r="AF153" s="171"/>
      <c r="AG153" s="171"/>
      <c r="AH153" s="171"/>
      <c r="AI153" s="171"/>
      <c r="AJ153" s="171"/>
      <c r="AK153" s="171"/>
      <c r="AL153" s="171"/>
      <c r="AM153" s="171"/>
      <c r="AN153" s="171"/>
      <c r="AO153" s="171"/>
      <c r="AP153" s="171"/>
      <c r="AQ153" s="171"/>
      <c r="AR153" s="171"/>
      <c r="AS153" s="171"/>
      <c r="AT153" s="171"/>
      <c r="AU153" s="171"/>
      <c r="AW153" s="65">
        <f t="shared" ref="AW153:BD153" si="65">SUM(AW146,AW151)</f>
        <v>56744.974999999999</v>
      </c>
      <c r="AX153" s="65">
        <f t="shared" si="65"/>
        <v>65425.542500000003</v>
      </c>
      <c r="AY153" s="65">
        <f t="shared" si="65"/>
        <v>67804.833462499999</v>
      </c>
      <c r="AZ153" s="65">
        <f t="shared" si="65"/>
        <v>78429.6875</v>
      </c>
      <c r="BA153" s="65">
        <f t="shared" si="65"/>
        <v>101641.25</v>
      </c>
      <c r="BB153" s="65">
        <f t="shared" si="65"/>
        <v>115040.67500000002</v>
      </c>
      <c r="BC153" s="65">
        <f t="shared" si="65"/>
        <v>126379.834625</v>
      </c>
      <c r="BD153" s="65">
        <f t="shared" si="65"/>
        <v>156436.25</v>
      </c>
      <c r="BF153" s="65">
        <f>SUM(BF146,BF151)</f>
        <v>268405.03846250003</v>
      </c>
      <c r="BG153" s="65">
        <f>SUM(BG146,BG151)</f>
        <v>499498.00962500006</v>
      </c>
      <c r="BH153" s="65">
        <f>SUM(BH146,BH151)</f>
        <v>723882.5</v>
      </c>
      <c r="BI153" s="65">
        <f>SUM(BI146,BI151)</f>
        <v>1267595.0000000002</v>
      </c>
      <c r="BJ153" s="65">
        <f>SUM(BJ146,BJ151)</f>
        <v>2256807.5000000005</v>
      </c>
    </row>
    <row r="154" spans="3:62" x14ac:dyDescent="0.2">
      <c r="C154" s="23" t="s">
        <v>8</v>
      </c>
      <c r="D154" s="10"/>
      <c r="E154" s="10"/>
      <c r="F154" s="93">
        <v>0.1</v>
      </c>
      <c r="G154" s="10"/>
      <c r="H154" s="10"/>
      <c r="I154" s="10"/>
      <c r="J154" s="10"/>
      <c r="K154" s="10"/>
      <c r="L154" s="171"/>
      <c r="M154" s="171"/>
      <c r="N154" s="171"/>
      <c r="O154" s="171"/>
      <c r="P154" s="171"/>
      <c r="Q154" s="171"/>
      <c r="R154" s="171"/>
      <c r="S154" s="171"/>
      <c r="T154" s="171"/>
      <c r="U154" s="171"/>
      <c r="V154" s="171"/>
      <c r="W154" s="171"/>
      <c r="X154" s="171"/>
      <c r="Y154" s="171"/>
      <c r="Z154" s="171"/>
      <c r="AA154" s="171"/>
      <c r="AB154" s="171"/>
      <c r="AC154" s="171"/>
      <c r="AD154" s="171"/>
      <c r="AE154" s="171"/>
      <c r="AF154" s="171"/>
      <c r="AG154" s="171"/>
      <c r="AH154" s="171"/>
      <c r="AI154" s="171"/>
      <c r="AJ154" s="171"/>
      <c r="AK154" s="171"/>
      <c r="AL154" s="171"/>
      <c r="AM154" s="171"/>
      <c r="AN154" s="171"/>
      <c r="AO154" s="171"/>
      <c r="AP154" s="171"/>
      <c r="AQ154" s="171"/>
      <c r="AR154" s="171"/>
      <c r="AS154" s="171"/>
      <c r="AT154" s="171"/>
      <c r="AU154" s="171"/>
      <c r="AW154" s="65">
        <f t="shared" ref="AW154:BD154" si="66">AW153*$F$154</f>
        <v>5674.4975000000004</v>
      </c>
      <c r="AX154" s="65">
        <f t="shared" si="66"/>
        <v>6542.554250000001</v>
      </c>
      <c r="AY154" s="65">
        <f t="shared" si="66"/>
        <v>6780.4833462500001</v>
      </c>
      <c r="AZ154" s="65">
        <f t="shared" si="66"/>
        <v>7842.96875</v>
      </c>
      <c r="BA154" s="65">
        <f t="shared" si="66"/>
        <v>10164.125</v>
      </c>
      <c r="BB154" s="65">
        <f t="shared" si="66"/>
        <v>11504.067500000003</v>
      </c>
      <c r="BC154" s="65">
        <f t="shared" si="66"/>
        <v>12637.9834625</v>
      </c>
      <c r="BD154" s="65">
        <f t="shared" si="66"/>
        <v>15643.625</v>
      </c>
      <c r="BF154" s="65">
        <f>BF153*$F$154</f>
        <v>26840.503846250005</v>
      </c>
      <c r="BG154" s="65">
        <f>BG153*$F$154</f>
        <v>49949.800962500012</v>
      </c>
      <c r="BH154" s="65">
        <f>BH153*$F$154</f>
        <v>72388.25</v>
      </c>
      <c r="BI154" s="65">
        <f>BI153*$F$154</f>
        <v>126759.50000000003</v>
      </c>
      <c r="BJ154" s="65">
        <f>BJ153*$F$154</f>
        <v>225680.75000000006</v>
      </c>
    </row>
    <row r="155" spans="3:62" x14ac:dyDescent="0.2">
      <c r="C155" s="23" t="s">
        <v>477</v>
      </c>
      <c r="D155" s="10"/>
      <c r="E155" s="10"/>
      <c r="F155" s="185">
        <f>'Key Assumptions + Summary'!$D$62</f>
        <v>0.75</v>
      </c>
      <c r="G155" s="10"/>
      <c r="H155" s="10"/>
      <c r="I155" s="10"/>
      <c r="J155" s="10"/>
      <c r="K155" s="10"/>
      <c r="L155" s="171"/>
      <c r="M155" s="171"/>
      <c r="N155" s="171"/>
      <c r="O155" s="171"/>
      <c r="P155" s="171"/>
      <c r="Q155" s="171"/>
      <c r="R155" s="171"/>
      <c r="S155" s="171"/>
      <c r="T155" s="171"/>
      <c r="U155" s="171"/>
      <c r="V155" s="171"/>
      <c r="W155" s="171"/>
      <c r="X155" s="171"/>
      <c r="Y155" s="171"/>
      <c r="Z155" s="171"/>
      <c r="AA155" s="171"/>
      <c r="AB155" s="171"/>
      <c r="AC155" s="171"/>
      <c r="AD155" s="171"/>
      <c r="AE155" s="171"/>
      <c r="AF155" s="171"/>
      <c r="AG155" s="171"/>
      <c r="AH155" s="171"/>
      <c r="AI155" s="171"/>
      <c r="AJ155" s="171"/>
      <c r="AK155" s="171"/>
      <c r="AL155" s="171"/>
      <c r="AM155" s="171"/>
      <c r="AN155" s="171"/>
      <c r="AO155" s="171"/>
      <c r="AP155" s="171"/>
      <c r="AQ155" s="171"/>
      <c r="AR155" s="171"/>
      <c r="AS155" s="171"/>
      <c r="AT155" s="171"/>
      <c r="AU155" s="171"/>
      <c r="AW155" s="65">
        <f>-$F155*AW143</f>
        <v>-26250</v>
      </c>
      <c r="AX155" s="65">
        <f t="shared" ref="AX155:AZ155" si="67">-$F155*AX143</f>
        <v>-26250</v>
      </c>
      <c r="AY155" s="65">
        <f t="shared" si="67"/>
        <v>-26250</v>
      </c>
      <c r="AZ155" s="65">
        <f t="shared" si="67"/>
        <v>-26250</v>
      </c>
      <c r="BA155" s="65"/>
      <c r="BB155" s="65"/>
      <c r="BC155" s="65"/>
      <c r="BD155" s="65"/>
      <c r="BF155" s="24">
        <f t="shared" ref="BF155:BG155" si="68">SUMIFS($AW155:$BD155,$AW$11:$BD$11,"&gt;"&amp;BE$11,$AW$11:$BD$11,"&lt;="&amp;BF$11)</f>
        <v>-105000</v>
      </c>
      <c r="BG155" s="24">
        <f t="shared" si="68"/>
        <v>0</v>
      </c>
      <c r="BH155" s="65"/>
      <c r="BI155" s="65"/>
      <c r="BJ155" s="65"/>
    </row>
    <row r="156" spans="3:62" x14ac:dyDescent="0.2">
      <c r="C156" s="22"/>
      <c r="D156" s="10"/>
      <c r="E156" s="10"/>
      <c r="F156" s="10"/>
      <c r="G156" s="10"/>
      <c r="H156" s="10"/>
      <c r="I156" s="10"/>
      <c r="J156" s="10"/>
      <c r="K156" s="10"/>
      <c r="L156" s="171"/>
      <c r="M156" s="171"/>
      <c r="N156" s="171"/>
      <c r="O156" s="171"/>
      <c r="P156" s="171"/>
      <c r="Q156" s="171"/>
      <c r="R156" s="171"/>
      <c r="S156" s="171"/>
      <c r="T156" s="171"/>
      <c r="U156" s="171"/>
      <c r="V156" s="171"/>
      <c r="W156" s="171"/>
      <c r="X156" s="171"/>
      <c r="Y156" s="171"/>
      <c r="Z156" s="171"/>
      <c r="AA156" s="171"/>
      <c r="AB156" s="171"/>
      <c r="AC156" s="171"/>
      <c r="AD156" s="171"/>
      <c r="AE156" s="171"/>
      <c r="AF156" s="171"/>
      <c r="AG156" s="171"/>
      <c r="AH156" s="171"/>
      <c r="AI156" s="171"/>
      <c r="AJ156" s="171"/>
      <c r="AK156" s="171"/>
      <c r="AL156" s="171"/>
      <c r="AM156" s="171"/>
      <c r="AN156" s="171"/>
      <c r="AO156" s="171"/>
      <c r="AP156" s="171"/>
      <c r="AQ156" s="171"/>
      <c r="AR156" s="171"/>
      <c r="AS156" s="171"/>
      <c r="AT156" s="171"/>
      <c r="AU156" s="171"/>
      <c r="AW156" s="10"/>
      <c r="AX156" s="10"/>
      <c r="AY156" s="10"/>
      <c r="AZ156" s="10"/>
      <c r="BA156" s="10"/>
      <c r="BB156" s="10"/>
      <c r="BC156" s="10"/>
      <c r="BD156" s="10"/>
      <c r="BF156" s="10"/>
      <c r="BG156" s="10"/>
      <c r="BH156" s="10"/>
      <c r="BI156" s="10"/>
      <c r="BJ156" s="10"/>
    </row>
    <row r="157" spans="3:62" x14ac:dyDescent="0.2">
      <c r="C157" s="72" t="s">
        <v>418</v>
      </c>
      <c r="D157" s="10"/>
      <c r="E157" s="10"/>
      <c r="F157" s="10"/>
      <c r="G157" s="10"/>
      <c r="H157" s="10"/>
      <c r="I157" s="10"/>
      <c r="J157" s="10"/>
      <c r="K157" s="10"/>
      <c r="L157" s="171"/>
      <c r="M157" s="171"/>
      <c r="N157" s="171"/>
      <c r="O157" s="171"/>
      <c r="P157" s="171"/>
      <c r="Q157" s="171"/>
      <c r="R157" s="171"/>
      <c r="S157" s="171"/>
      <c r="T157" s="171"/>
      <c r="U157" s="171"/>
      <c r="V157" s="171"/>
      <c r="W157" s="171"/>
      <c r="X157" s="171"/>
      <c r="Y157" s="171"/>
      <c r="Z157" s="171"/>
      <c r="AA157" s="171"/>
      <c r="AB157" s="171"/>
      <c r="AC157" s="171"/>
      <c r="AD157" s="171"/>
      <c r="AE157" s="171"/>
      <c r="AF157" s="171"/>
      <c r="AG157" s="171"/>
      <c r="AH157" s="171"/>
      <c r="AI157" s="171"/>
      <c r="AJ157" s="171"/>
      <c r="AK157" s="171"/>
      <c r="AL157" s="171"/>
      <c r="AM157" s="171"/>
      <c r="AN157" s="171"/>
      <c r="AO157" s="171"/>
      <c r="AP157" s="171"/>
      <c r="AQ157" s="171"/>
      <c r="AR157" s="171"/>
      <c r="AS157" s="171"/>
      <c r="AT157" s="171"/>
      <c r="AU157" s="171"/>
      <c r="AW157" s="74">
        <f t="shared" ref="AW157:BD157" si="69">SUM(AW153:AW155)</f>
        <v>36169.472499999996</v>
      </c>
      <c r="AX157" s="74">
        <f t="shared" si="69"/>
        <v>45718.096749999997</v>
      </c>
      <c r="AY157" s="74">
        <f t="shared" si="69"/>
        <v>48335.316808749994</v>
      </c>
      <c r="AZ157" s="74">
        <f t="shared" si="69"/>
        <v>60022.65625</v>
      </c>
      <c r="BA157" s="74">
        <f t="shared" si="69"/>
        <v>111805.375</v>
      </c>
      <c r="BB157" s="74">
        <f t="shared" si="69"/>
        <v>126544.74250000002</v>
      </c>
      <c r="BC157" s="74">
        <f t="shared" si="69"/>
        <v>139017.8180875</v>
      </c>
      <c r="BD157" s="74">
        <f t="shared" si="69"/>
        <v>172079.875</v>
      </c>
      <c r="BF157" s="74">
        <f>SUM(BF153:BF155)</f>
        <v>190245.54230875004</v>
      </c>
      <c r="BG157" s="74">
        <f>SUM(BG153:BG155)</f>
        <v>549447.81058750011</v>
      </c>
      <c r="BH157" s="74">
        <f>SUM(BH153:BH155)</f>
        <v>796270.75</v>
      </c>
      <c r="BI157" s="74">
        <f>SUM(BI153:BI155)</f>
        <v>1394354.5000000002</v>
      </c>
      <c r="BJ157" s="74">
        <f>SUM(BJ153:BJ155)</f>
        <v>2482488.2500000005</v>
      </c>
    </row>
    <row r="158" spans="3:62" x14ac:dyDescent="0.2">
      <c r="C158" s="22"/>
      <c r="D158" s="10"/>
      <c r="E158" s="10"/>
      <c r="F158" s="10"/>
      <c r="G158" s="10"/>
      <c r="H158" s="10"/>
      <c r="I158" s="10"/>
      <c r="J158" s="10"/>
      <c r="K158" s="10"/>
      <c r="L158" s="171"/>
      <c r="M158" s="171"/>
      <c r="N158" s="171"/>
      <c r="O158" s="171"/>
      <c r="P158" s="171"/>
      <c r="Q158" s="171"/>
      <c r="R158" s="171"/>
      <c r="S158" s="171"/>
      <c r="T158" s="171"/>
      <c r="U158" s="171"/>
      <c r="V158" s="171"/>
      <c r="W158" s="171"/>
      <c r="X158" s="171"/>
      <c r="Y158" s="171"/>
      <c r="Z158" s="171"/>
      <c r="AA158" s="171"/>
      <c r="AB158" s="171"/>
      <c r="AC158" s="171"/>
      <c r="AD158" s="171"/>
      <c r="AE158" s="171"/>
      <c r="AF158" s="171"/>
      <c r="AG158" s="171"/>
      <c r="AH158" s="171"/>
      <c r="AI158" s="171"/>
      <c r="AJ158" s="171"/>
      <c r="AK158" s="171"/>
      <c r="AL158" s="171"/>
      <c r="AM158" s="171"/>
      <c r="AN158" s="171"/>
      <c r="AO158" s="171"/>
      <c r="AP158" s="171"/>
      <c r="AQ158" s="171"/>
      <c r="AR158" s="171"/>
      <c r="AS158" s="171"/>
      <c r="AT158" s="171"/>
      <c r="AU158" s="171"/>
      <c r="AW158" s="10"/>
      <c r="AX158" s="10"/>
      <c r="AY158" s="10"/>
      <c r="AZ158" s="10"/>
      <c r="BA158" s="10"/>
      <c r="BB158" s="10"/>
      <c r="BC158" s="10"/>
      <c r="BD158" s="10"/>
      <c r="BF158" s="10"/>
      <c r="BG158" s="10"/>
      <c r="BH158" s="10"/>
      <c r="BI158" s="10"/>
      <c r="BJ158" s="10"/>
    </row>
    <row r="159" spans="3:62" x14ac:dyDescent="0.2">
      <c r="C159" s="22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W159" s="10"/>
      <c r="AX159" s="10"/>
      <c r="AY159" s="10"/>
      <c r="AZ159" s="10"/>
      <c r="BA159" s="10"/>
      <c r="BB159" s="10"/>
      <c r="BC159" s="10"/>
      <c r="BD159" s="10"/>
      <c r="BF159" s="10"/>
      <c r="BG159" s="10"/>
      <c r="BH159" s="10"/>
      <c r="BI159" s="10"/>
      <c r="BJ159" s="10"/>
    </row>
    <row r="177" s="22" customFormat="1" x14ac:dyDescent="0.2"/>
    <row r="198" s="144" customFormat="1" x14ac:dyDescent="0.2"/>
    <row r="199" s="144" customFormat="1" x14ac:dyDescent="0.2"/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B04F3-2C9F-49F3-94F4-3C32A6D4CA69}">
  <sheetPr>
    <tabColor theme="5" tint="0.39997558519241921"/>
  </sheetPr>
  <dimension ref="A1"/>
  <sheetViews>
    <sheetView workbookViewId="0">
      <selection activeCell="K29" sqref="K29"/>
    </sheetView>
  </sheetViews>
  <sheetFormatPr defaultColWidth="8.875" defaultRowHeight="15.7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9BF6A-6576-470E-BD40-F149D9EA332F}">
  <sheetPr>
    <tabColor theme="5" tint="0.79998168889431442"/>
  </sheetPr>
  <dimension ref="A2:L121"/>
  <sheetViews>
    <sheetView workbookViewId="0">
      <selection activeCell="I12" sqref="I12"/>
    </sheetView>
  </sheetViews>
  <sheetFormatPr defaultColWidth="11" defaultRowHeight="12.75" outlineLevelRow="2" x14ac:dyDescent="0.2"/>
  <cols>
    <col min="1" max="1" width="2.5" style="62" customWidth="1"/>
    <col min="2" max="2" width="39.625" style="62" customWidth="1"/>
    <col min="3" max="3" width="14.375" style="62" customWidth="1"/>
    <col min="4" max="4" width="13.375" style="62" customWidth="1"/>
    <col min="5" max="5" width="20.875" style="62" customWidth="1"/>
    <col min="6" max="6" width="9.5" style="62" customWidth="1"/>
    <col min="7" max="7" width="33.375" style="62" customWidth="1"/>
    <col min="8" max="8" width="14.375" style="62" bestFit="1" customWidth="1"/>
    <col min="9" max="9" width="13.375" style="62" customWidth="1"/>
    <col min="10" max="10" width="20.875" style="62" customWidth="1"/>
    <col min="11" max="16384" width="11" style="62"/>
  </cols>
  <sheetData>
    <row r="2" spans="1:10" x14ac:dyDescent="0.2">
      <c r="A2" s="62" t="s">
        <v>27</v>
      </c>
      <c r="B2" s="4" t="s">
        <v>263</v>
      </c>
      <c r="C2" s="4"/>
      <c r="D2" s="4"/>
      <c r="E2" s="4"/>
      <c r="F2" s="4"/>
      <c r="G2" s="4"/>
      <c r="H2" s="4"/>
      <c r="I2" s="4"/>
      <c r="J2" s="4"/>
    </row>
    <row r="3" spans="1:10" x14ac:dyDescent="0.2">
      <c r="B3" s="8" t="s">
        <v>264</v>
      </c>
      <c r="C3" s="9"/>
      <c r="D3" s="9"/>
      <c r="E3" s="9"/>
      <c r="F3" s="9"/>
      <c r="G3" s="9"/>
      <c r="H3" s="9"/>
      <c r="I3" s="9"/>
      <c r="J3" s="9"/>
    </row>
    <row r="4" spans="1:10" x14ac:dyDescent="0.2">
      <c r="B4" s="188" t="s">
        <v>265</v>
      </c>
    </row>
    <row r="5" spans="1:10" x14ac:dyDescent="0.2">
      <c r="B5" s="188"/>
    </row>
    <row r="6" spans="1:10" x14ac:dyDescent="0.2">
      <c r="B6" s="188"/>
    </row>
    <row r="7" spans="1:10" x14ac:dyDescent="0.2">
      <c r="B7" s="68" t="s">
        <v>266</v>
      </c>
      <c r="C7" s="68"/>
      <c r="D7" s="68"/>
      <c r="E7" s="199"/>
      <c r="F7" s="199"/>
      <c r="G7" s="68" t="s">
        <v>266</v>
      </c>
      <c r="H7" s="68"/>
      <c r="I7" s="68"/>
    </row>
    <row r="8" spans="1:10" x14ac:dyDescent="0.2">
      <c r="B8" s="199"/>
      <c r="C8" s="199"/>
      <c r="D8" s="199"/>
      <c r="E8" s="199"/>
      <c r="F8" s="199"/>
      <c r="G8" s="199"/>
      <c r="H8" s="199"/>
      <c r="I8" s="199"/>
    </row>
    <row r="9" spans="1:10" x14ac:dyDescent="0.2">
      <c r="C9" s="68" t="s">
        <v>267</v>
      </c>
      <c r="D9" s="68"/>
      <c r="H9" s="68" t="s">
        <v>268</v>
      </c>
      <c r="I9" s="68"/>
    </row>
    <row r="10" spans="1:10" x14ac:dyDescent="0.2">
      <c r="B10" s="213" t="s">
        <v>269</v>
      </c>
      <c r="C10" s="214" t="s">
        <v>270</v>
      </c>
      <c r="D10" s="214"/>
      <c r="G10" s="213" t="s">
        <v>269</v>
      </c>
      <c r="H10" s="214" t="s">
        <v>270</v>
      </c>
      <c r="I10" s="214"/>
    </row>
    <row r="11" spans="1:10" x14ac:dyDescent="0.2">
      <c r="C11" s="62" t="s">
        <v>250</v>
      </c>
      <c r="D11" s="62" t="s">
        <v>250</v>
      </c>
      <c r="H11" s="62" t="s">
        <v>250</v>
      </c>
    </row>
    <row r="12" spans="1:10" x14ac:dyDescent="0.2">
      <c r="B12" s="215" t="s">
        <v>271</v>
      </c>
      <c r="C12" s="216">
        <f>15000*0.3</f>
        <v>4500</v>
      </c>
      <c r="D12" s="217">
        <f>150*4.8+150*4.2</f>
        <v>1350</v>
      </c>
      <c r="E12" s="62" t="s">
        <v>272</v>
      </c>
      <c r="G12" s="215" t="s">
        <v>273</v>
      </c>
      <c r="H12" s="216">
        <f>D12*2</f>
        <v>2700</v>
      </c>
      <c r="I12" s="216"/>
    </row>
    <row r="13" spans="1:10" ht="15.75" customHeight="1" outlineLevel="1" x14ac:dyDescent="0.2">
      <c r="B13" s="62" t="s">
        <v>274</v>
      </c>
      <c r="C13" s="218"/>
      <c r="G13" s="62" t="s">
        <v>274</v>
      </c>
      <c r="H13" s="218"/>
    </row>
    <row r="14" spans="1:10" ht="15.75" customHeight="1" outlineLevel="1" x14ac:dyDescent="0.2">
      <c r="B14" s="215" t="s">
        <v>275</v>
      </c>
      <c r="C14" s="219">
        <f>180*200/1000</f>
        <v>36</v>
      </c>
      <c r="D14" s="219">
        <f t="shared" ref="D14:D22" si="0">C14</f>
        <v>36</v>
      </c>
      <c r="E14" s="62" t="s">
        <v>276</v>
      </c>
      <c r="G14" s="215" t="s">
        <v>275</v>
      </c>
      <c r="H14" s="219">
        <f>180*200/1000</f>
        <v>36</v>
      </c>
      <c r="I14" s="219"/>
    </row>
    <row r="15" spans="1:10" ht="15.75" customHeight="1" outlineLevel="1" x14ac:dyDescent="0.2">
      <c r="B15" s="215" t="s">
        <v>277</v>
      </c>
      <c r="C15" s="216">
        <v>50</v>
      </c>
      <c r="D15" s="219">
        <f t="shared" si="0"/>
        <v>50</v>
      </c>
      <c r="E15" s="62" t="s">
        <v>278</v>
      </c>
      <c r="G15" s="215" t="s">
        <v>277</v>
      </c>
      <c r="H15" s="216">
        <v>50</v>
      </c>
      <c r="I15" s="219"/>
    </row>
    <row r="16" spans="1:10" ht="15.75" customHeight="1" outlineLevel="1" x14ac:dyDescent="0.2">
      <c r="B16" s="215" t="s">
        <v>279</v>
      </c>
      <c r="C16" s="216">
        <f>10*230/20</f>
        <v>115</v>
      </c>
      <c r="D16" s="219">
        <f t="shared" si="0"/>
        <v>115</v>
      </c>
      <c r="E16" s="220" t="s">
        <v>280</v>
      </c>
      <c r="G16" s="215" t="s">
        <v>279</v>
      </c>
      <c r="H16" s="216">
        <f>10*230/20</f>
        <v>115</v>
      </c>
      <c r="I16" s="219"/>
      <c r="J16" s="220"/>
    </row>
    <row r="17" spans="2:12" ht="15.75" customHeight="1" outlineLevel="1" x14ac:dyDescent="0.2">
      <c r="B17" s="215" t="s">
        <v>281</v>
      </c>
      <c r="C17" s="216">
        <f>350*540/20000</f>
        <v>9.4499999999999993</v>
      </c>
      <c r="D17" s="219">
        <f t="shared" si="0"/>
        <v>9.4499999999999993</v>
      </c>
      <c r="E17" s="220" t="s">
        <v>282</v>
      </c>
      <c r="G17" s="215" t="s">
        <v>281</v>
      </c>
      <c r="H17" s="216">
        <f>350*540/20000</f>
        <v>9.4499999999999993</v>
      </c>
      <c r="I17" s="219"/>
      <c r="J17" s="220"/>
    </row>
    <row r="18" spans="2:12" ht="15.75" customHeight="1" outlineLevel="1" x14ac:dyDescent="0.2">
      <c r="B18" s="215" t="s">
        <v>283</v>
      </c>
      <c r="C18" s="216">
        <v>280</v>
      </c>
      <c r="D18" s="219">
        <f t="shared" si="0"/>
        <v>280</v>
      </c>
      <c r="E18" s="220" t="s">
        <v>284</v>
      </c>
      <c r="G18" s="215" t="s">
        <v>283</v>
      </c>
      <c r="H18" s="216">
        <v>280</v>
      </c>
      <c r="I18" s="219"/>
      <c r="J18" s="220"/>
    </row>
    <row r="19" spans="2:12" ht="15.75" customHeight="1" outlineLevel="1" x14ac:dyDescent="0.2">
      <c r="B19" s="215" t="s">
        <v>285</v>
      </c>
      <c r="C19" s="216">
        <v>350</v>
      </c>
      <c r="D19" s="219">
        <f t="shared" si="0"/>
        <v>350</v>
      </c>
      <c r="E19" s="220" t="s">
        <v>284</v>
      </c>
      <c r="G19" s="215" t="s">
        <v>286</v>
      </c>
      <c r="H19" s="216">
        <v>350</v>
      </c>
      <c r="I19" s="219"/>
      <c r="J19" s="220"/>
    </row>
    <row r="20" spans="2:12" ht="15.75" customHeight="1" outlineLevel="1" x14ac:dyDescent="0.2">
      <c r="B20" s="215" t="s">
        <v>287</v>
      </c>
      <c r="C20" s="216">
        <f>415+90+26</f>
        <v>531</v>
      </c>
      <c r="D20" s="219">
        <f t="shared" si="0"/>
        <v>531</v>
      </c>
      <c r="E20" s="221"/>
      <c r="G20" s="215" t="s">
        <v>287</v>
      </c>
      <c r="H20" s="216">
        <f>C20*2</f>
        <v>1062</v>
      </c>
      <c r="I20" s="222"/>
      <c r="J20" s="220"/>
    </row>
    <row r="21" spans="2:12" ht="15.75" customHeight="1" outlineLevel="1" x14ac:dyDescent="0.2">
      <c r="B21" s="215" t="s">
        <v>288</v>
      </c>
      <c r="C21" s="216">
        <v>4</v>
      </c>
      <c r="D21" s="219">
        <f t="shared" si="0"/>
        <v>4</v>
      </c>
      <c r="E21" s="220" t="s">
        <v>289</v>
      </c>
      <c r="G21" s="215" t="s">
        <v>288</v>
      </c>
      <c r="H21" s="216">
        <v>8</v>
      </c>
      <c r="I21" s="222"/>
      <c r="J21" s="220"/>
    </row>
    <row r="22" spans="2:12" ht="18" customHeight="1" outlineLevel="1" x14ac:dyDescent="0.35">
      <c r="B22" s="215" t="s">
        <v>290</v>
      </c>
      <c r="C22" s="223">
        <v>750</v>
      </c>
      <c r="D22" s="224">
        <f t="shared" si="0"/>
        <v>750</v>
      </c>
      <c r="E22" s="220" t="s">
        <v>291</v>
      </c>
      <c r="G22" s="215" t="s">
        <v>290</v>
      </c>
      <c r="H22" s="223">
        <v>1500</v>
      </c>
      <c r="I22" s="225"/>
      <c r="J22" s="220"/>
    </row>
    <row r="23" spans="2:12" x14ac:dyDescent="0.2">
      <c r="B23" s="215" t="s">
        <v>274</v>
      </c>
      <c r="C23" s="216">
        <f>SUM(C14:C22)</f>
        <v>2125.4499999999998</v>
      </c>
      <c r="D23" s="216">
        <f>SUM(D14:D22)</f>
        <v>2125.4499999999998</v>
      </c>
      <c r="E23" s="220" t="s">
        <v>292</v>
      </c>
      <c r="G23" s="215" t="str">
        <f>B23</f>
        <v>Chemicals and Disposables</v>
      </c>
      <c r="H23" s="216">
        <f>SUM(H14:H22)</f>
        <v>3410.45</v>
      </c>
      <c r="I23" s="216"/>
      <c r="J23" s="220"/>
    </row>
    <row r="24" spans="2:12" ht="15.75" customHeight="1" outlineLevel="1" x14ac:dyDescent="0.2">
      <c r="B24" s="62" t="s">
        <v>293</v>
      </c>
      <c r="E24" s="220"/>
      <c r="G24" s="62" t="s">
        <v>293</v>
      </c>
    </row>
    <row r="25" spans="2:12" ht="15.75" customHeight="1" outlineLevel="1" x14ac:dyDescent="0.2">
      <c r="B25" s="215" t="s">
        <v>294</v>
      </c>
      <c r="C25" s="217">
        <v>250</v>
      </c>
      <c r="D25" s="217">
        <v>250</v>
      </c>
      <c r="E25" s="220"/>
      <c r="G25" s="215" t="s">
        <v>294</v>
      </c>
      <c r="H25" s="217">
        <f>C25</f>
        <v>250</v>
      </c>
      <c r="I25" s="219"/>
    </row>
    <row r="26" spans="2:12" ht="15.75" customHeight="1" outlineLevel="1" x14ac:dyDescent="0.2">
      <c r="B26" s="226" t="s">
        <v>295</v>
      </c>
      <c r="C26" s="216">
        <v>73</v>
      </c>
      <c r="D26" s="219">
        <v>73</v>
      </c>
      <c r="E26" s="221"/>
      <c r="F26" s="246"/>
      <c r="G26" s="339" t="s">
        <v>295</v>
      </c>
      <c r="H26" s="340">
        <v>73</v>
      </c>
      <c r="I26" s="219"/>
      <c r="J26" s="337"/>
    </row>
    <row r="27" spans="2:12" ht="15.75" customHeight="1" outlineLevel="1" x14ac:dyDescent="0.2">
      <c r="B27" s="226" t="s">
        <v>275</v>
      </c>
      <c r="C27" s="217">
        <v>80</v>
      </c>
      <c r="D27" s="217">
        <v>80</v>
      </c>
      <c r="E27" s="220"/>
      <c r="G27" s="226" t="s">
        <v>275</v>
      </c>
      <c r="H27" s="217">
        <f>C27</f>
        <v>80</v>
      </c>
      <c r="I27" s="219"/>
    </row>
    <row r="28" spans="2:12" ht="18" customHeight="1" outlineLevel="1" x14ac:dyDescent="0.35">
      <c r="B28" s="226" t="s">
        <v>296</v>
      </c>
      <c r="C28" s="227">
        <v>1000</v>
      </c>
      <c r="D28" s="227">
        <v>1000</v>
      </c>
      <c r="E28" s="220"/>
      <c r="G28" s="226" t="s">
        <v>296</v>
      </c>
      <c r="H28" s="227">
        <f>C28</f>
        <v>1000</v>
      </c>
      <c r="I28" s="224"/>
      <c r="L28" s="228"/>
    </row>
    <row r="29" spans="2:12" x14ac:dyDescent="0.2">
      <c r="B29" s="226" t="s">
        <v>297</v>
      </c>
      <c r="C29" s="219">
        <f>SUM(C25:C28)</f>
        <v>1403</v>
      </c>
      <c r="D29" s="219">
        <f>SUM(D25:D28)</f>
        <v>1403</v>
      </c>
      <c r="E29" s="220"/>
      <c r="G29" s="226" t="s">
        <v>298</v>
      </c>
      <c r="H29" s="219">
        <f>SUM(H25:H28)</f>
        <v>1403</v>
      </c>
      <c r="I29" s="219"/>
    </row>
    <row r="30" spans="2:12" ht="18" customHeight="1" outlineLevel="1" x14ac:dyDescent="0.35">
      <c r="G30" s="226"/>
      <c r="H30" s="224"/>
      <c r="I30" s="224"/>
    </row>
    <row r="31" spans="2:12" ht="18" customHeight="1" outlineLevel="1" x14ac:dyDescent="0.35">
      <c r="G31" s="226"/>
      <c r="H31" s="224"/>
      <c r="I31" s="224"/>
    </row>
    <row r="32" spans="2:12" ht="18" customHeight="1" outlineLevel="1" x14ac:dyDescent="0.35">
      <c r="G32" s="226"/>
      <c r="H32" s="224"/>
      <c r="I32" s="224"/>
    </row>
    <row r="33" spans="2:11" ht="18" customHeight="1" outlineLevel="1" x14ac:dyDescent="0.35">
      <c r="G33" s="226"/>
      <c r="H33" s="224"/>
      <c r="I33" s="224"/>
    </row>
    <row r="34" spans="2:11" ht="18" customHeight="1" outlineLevel="1" x14ac:dyDescent="0.35">
      <c r="G34" s="226"/>
      <c r="H34" s="224"/>
      <c r="I34" s="224"/>
    </row>
    <row r="35" spans="2:11" ht="18" customHeight="1" outlineLevel="1" x14ac:dyDescent="0.35">
      <c r="B35" s="229"/>
      <c r="C35" s="224"/>
      <c r="D35" s="224"/>
      <c r="E35" s="224"/>
      <c r="G35" s="226"/>
      <c r="H35" s="224"/>
      <c r="I35" s="224"/>
    </row>
    <row r="36" spans="2:11" ht="18" customHeight="1" outlineLevel="1" x14ac:dyDescent="0.35">
      <c r="B36" s="230" t="s">
        <v>299</v>
      </c>
      <c r="C36" s="224"/>
      <c r="D36" s="231"/>
      <c r="E36" s="220"/>
      <c r="G36" s="226"/>
      <c r="H36" s="224"/>
      <c r="I36" s="224"/>
    </row>
    <row r="37" spans="2:11" ht="18" customHeight="1" outlineLevel="1" x14ac:dyDescent="0.35">
      <c r="B37" s="226" t="s">
        <v>300</v>
      </c>
      <c r="C37" s="224"/>
      <c r="D37" s="224"/>
      <c r="E37" s="220"/>
      <c r="G37" s="226" t="s">
        <v>301</v>
      </c>
      <c r="H37" s="232">
        <v>0.2</v>
      </c>
      <c r="I37" s="224"/>
    </row>
    <row r="38" spans="2:11" ht="15" x14ac:dyDescent="0.35">
      <c r="B38" s="226" t="s">
        <v>302</v>
      </c>
      <c r="C38" s="224">
        <v>17124.55</v>
      </c>
      <c r="D38" s="224">
        <f>C38</f>
        <v>17124.55</v>
      </c>
      <c r="E38" s="220" t="s">
        <v>303</v>
      </c>
      <c r="G38" s="226" t="str">
        <f>B37</f>
        <v xml:space="preserve"> MFG Labor</v>
      </c>
      <c r="H38" s="224">
        <f>C38*(1+H37)</f>
        <v>20549.46</v>
      </c>
      <c r="I38" s="224"/>
    </row>
    <row r="39" spans="2:11" ht="15.75" customHeight="1" outlineLevel="1" x14ac:dyDescent="0.2">
      <c r="B39" s="62" t="s">
        <v>304</v>
      </c>
      <c r="C39" s="219"/>
      <c r="E39" s="220"/>
      <c r="G39" s="226"/>
      <c r="H39" s="219"/>
    </row>
    <row r="40" spans="2:11" x14ac:dyDescent="0.2">
      <c r="B40" s="62" t="s">
        <v>305</v>
      </c>
      <c r="C40" s="217">
        <f>C12+C23+C29+C38</f>
        <v>25153</v>
      </c>
      <c r="D40" s="217">
        <f>D12+D23+D29+D38</f>
        <v>22003</v>
      </c>
      <c r="E40" s="220"/>
      <c r="G40" s="62" t="s">
        <v>305</v>
      </c>
      <c r="H40" s="217">
        <f>H12+H23+H29+H38</f>
        <v>28062.91</v>
      </c>
      <c r="I40" s="217"/>
    </row>
    <row r="41" spans="2:11" ht="31.5" customHeight="1" outlineLevel="1" x14ac:dyDescent="0.2">
      <c r="B41" s="233" t="s">
        <v>306</v>
      </c>
      <c r="C41" s="216">
        <v>2730</v>
      </c>
      <c r="D41" s="216">
        <v>2730</v>
      </c>
      <c r="E41" s="220"/>
      <c r="G41" s="233" t="s">
        <v>307</v>
      </c>
      <c r="H41" s="216">
        <v>2730</v>
      </c>
      <c r="I41" s="216"/>
    </row>
    <row r="42" spans="2:11" ht="15.75" customHeight="1" outlineLevel="1" x14ac:dyDescent="0.2">
      <c r="B42" s="233" t="s">
        <v>308</v>
      </c>
      <c r="C42" s="216">
        <v>0</v>
      </c>
      <c r="D42" s="216">
        <f>C42</f>
        <v>0</v>
      </c>
      <c r="E42" s="220"/>
      <c r="G42" s="233" t="s">
        <v>309</v>
      </c>
      <c r="H42" s="216">
        <v>581.6</v>
      </c>
      <c r="I42" s="216"/>
    </row>
    <row r="43" spans="2:11" ht="15.75" customHeight="1" outlineLevel="1" x14ac:dyDescent="0.2">
      <c r="B43" s="233" t="s">
        <v>310</v>
      </c>
      <c r="C43" s="216">
        <v>83.15</v>
      </c>
      <c r="D43" s="216">
        <f>C43</f>
        <v>83.15</v>
      </c>
      <c r="E43" s="220"/>
      <c r="G43" s="233" t="s">
        <v>308</v>
      </c>
      <c r="H43" s="216">
        <f>C43*2</f>
        <v>166.3</v>
      </c>
      <c r="I43" s="216"/>
    </row>
    <row r="44" spans="2:11" ht="15.75" customHeight="1" outlineLevel="1" x14ac:dyDescent="0.2">
      <c r="B44" s="233" t="s">
        <v>311</v>
      </c>
      <c r="C44" s="216">
        <v>19.57</v>
      </c>
      <c r="D44" s="216">
        <f>C44</f>
        <v>19.57</v>
      </c>
      <c r="E44" s="220"/>
      <c r="G44" s="233" t="s">
        <v>310</v>
      </c>
      <c r="H44" s="216">
        <f>C44*2</f>
        <v>39.14</v>
      </c>
      <c r="I44" s="216"/>
    </row>
    <row r="45" spans="2:11" ht="18" customHeight="1" outlineLevel="1" x14ac:dyDescent="0.35">
      <c r="B45" s="234" t="s">
        <v>312</v>
      </c>
      <c r="C45" s="223">
        <v>2617.2600000000002</v>
      </c>
      <c r="D45" s="223">
        <f>C45*$L$28</f>
        <v>0</v>
      </c>
      <c r="E45" s="220"/>
      <c r="G45" s="233" t="s">
        <v>311</v>
      </c>
      <c r="H45" s="223">
        <v>2617.2600000000002</v>
      </c>
      <c r="I45" s="223"/>
    </row>
    <row r="46" spans="2:11" ht="15" x14ac:dyDescent="0.35">
      <c r="B46" s="233" t="s">
        <v>313</v>
      </c>
      <c r="C46" s="223">
        <f>SUM(C41:C45)</f>
        <v>5449.9800000000005</v>
      </c>
      <c r="D46" s="223">
        <f>SUM(D41:D45)</f>
        <v>2832.7200000000003</v>
      </c>
      <c r="E46" s="220"/>
      <c r="G46" s="235" t="s">
        <v>314</v>
      </c>
      <c r="H46" s="223">
        <f>SUM(H41:H45)</f>
        <v>6134.3</v>
      </c>
      <c r="I46" s="223"/>
      <c r="J46" s="219"/>
      <c r="K46" s="219"/>
    </row>
    <row r="47" spans="2:11" x14ac:dyDescent="0.2">
      <c r="B47" s="233"/>
      <c r="C47" s="216">
        <f>C40+C46</f>
        <v>30602.98</v>
      </c>
      <c r="D47" s="216">
        <f>D40+D46</f>
        <v>24835.72</v>
      </c>
      <c r="E47" s="220"/>
      <c r="G47" s="233" t="s">
        <v>313</v>
      </c>
      <c r="H47" s="216">
        <f>H40+H46</f>
        <v>34197.21</v>
      </c>
      <c r="I47" s="216"/>
    </row>
    <row r="48" spans="2:11" x14ac:dyDescent="0.2">
      <c r="C48" s="216"/>
      <c r="D48" s="216"/>
      <c r="E48" s="220"/>
      <c r="G48" s="233"/>
      <c r="H48" s="216"/>
      <c r="I48" s="216"/>
    </row>
    <row r="49" spans="2:10" x14ac:dyDescent="0.2">
      <c r="B49" s="62" t="s">
        <v>315</v>
      </c>
      <c r="C49" s="236">
        <v>330</v>
      </c>
      <c r="D49" s="236">
        <v>330</v>
      </c>
      <c r="E49" s="220"/>
      <c r="G49" s="62" t="s">
        <v>315</v>
      </c>
      <c r="H49" s="236">
        <v>660</v>
      </c>
      <c r="I49" s="236"/>
    </row>
    <row r="50" spans="2:10" x14ac:dyDescent="0.2">
      <c r="C50" s="216"/>
      <c r="D50" s="216"/>
      <c r="E50" s="220"/>
      <c r="G50" s="233"/>
      <c r="H50" s="216"/>
      <c r="I50" s="216"/>
    </row>
    <row r="51" spans="2:10" x14ac:dyDescent="0.2">
      <c r="B51" s="62" t="s">
        <v>316</v>
      </c>
      <c r="C51" s="217">
        <f>C47/C49</f>
        <v>92.736303030303034</v>
      </c>
      <c r="D51" s="217">
        <f>D47/D49</f>
        <v>75.259757575757575</v>
      </c>
      <c r="E51" s="220"/>
      <c r="G51" s="62" t="s">
        <v>316</v>
      </c>
      <c r="H51" s="217">
        <f>H47/H49</f>
        <v>51.813954545454543</v>
      </c>
      <c r="I51" s="217"/>
    </row>
    <row r="52" spans="2:10" ht="15.75" customHeight="1" outlineLevel="1" x14ac:dyDescent="0.2">
      <c r="B52" s="62" t="s">
        <v>317</v>
      </c>
      <c r="C52" s="216">
        <v>4774</v>
      </c>
      <c r="D52" s="216">
        <v>4774</v>
      </c>
      <c r="E52" s="220"/>
      <c r="F52" s="237"/>
      <c r="G52" s="233" t="s">
        <v>318</v>
      </c>
      <c r="H52" s="216">
        <v>4774</v>
      </c>
    </row>
    <row r="53" spans="2:10" ht="15.75" customHeight="1" outlineLevel="1" x14ac:dyDescent="0.2">
      <c r="B53" s="62" t="s">
        <v>319</v>
      </c>
      <c r="C53" s="236">
        <f>C49</f>
        <v>330</v>
      </c>
      <c r="D53" s="236">
        <f>D49</f>
        <v>330</v>
      </c>
      <c r="G53" s="62" t="s">
        <v>317</v>
      </c>
      <c r="H53" s="236">
        <f>H49</f>
        <v>660</v>
      </c>
      <c r="I53" s="236"/>
    </row>
    <row r="54" spans="2:10" ht="15.75" customHeight="1" outlineLevel="1" x14ac:dyDescent="0.2">
      <c r="B54" s="62" t="s">
        <v>320</v>
      </c>
      <c r="C54" s="238">
        <v>12</v>
      </c>
      <c r="D54" s="239">
        <v>12</v>
      </c>
      <c r="G54" s="62" t="s">
        <v>319</v>
      </c>
      <c r="H54" s="238">
        <v>12</v>
      </c>
      <c r="I54" s="239"/>
    </row>
    <row r="55" spans="2:10" ht="15.75" customHeight="1" outlineLevel="1" x14ac:dyDescent="0.2">
      <c r="B55" s="62" t="s">
        <v>321</v>
      </c>
      <c r="C55" s="238">
        <f>C53*C54</f>
        <v>3960</v>
      </c>
      <c r="D55" s="238">
        <f>D53*D54</f>
        <v>3960</v>
      </c>
      <c r="G55" s="62" t="s">
        <v>320</v>
      </c>
      <c r="H55" s="238">
        <f>H53*H54</f>
        <v>7920</v>
      </c>
      <c r="I55" s="238"/>
    </row>
    <row r="56" spans="2:10" ht="15" x14ac:dyDescent="0.35">
      <c r="B56" s="233" t="s">
        <v>322</v>
      </c>
      <c r="C56" s="227">
        <f>C52/C55</f>
        <v>1.2055555555555555</v>
      </c>
      <c r="D56" s="227">
        <f>D52/D55</f>
        <v>1.2055555555555555</v>
      </c>
      <c r="G56" s="233" t="s">
        <v>323</v>
      </c>
      <c r="H56" s="227">
        <f>H52/H55</f>
        <v>0.60277777777777775</v>
      </c>
      <c r="I56" s="227"/>
    </row>
    <row r="57" spans="2:10" ht="15.75" thickBot="1" x14ac:dyDescent="0.4">
      <c r="B57" s="240"/>
      <c r="C57" s="241"/>
      <c r="D57" s="241"/>
      <c r="H57" s="242"/>
      <c r="J57" s="219"/>
    </row>
    <row r="58" spans="2:10" ht="14.25" thickTop="1" thickBot="1" x14ac:dyDescent="0.25">
      <c r="B58" s="243" t="s">
        <v>324</v>
      </c>
      <c r="C58" s="244">
        <f>C51+C56</f>
        <v>93.941858585858583</v>
      </c>
      <c r="D58" s="244">
        <f>D51+D56</f>
        <v>76.465313131313124</v>
      </c>
      <c r="G58" s="243" t="s">
        <v>324</v>
      </c>
      <c r="H58" s="244">
        <f>H51+H56</f>
        <v>52.416732323232317</v>
      </c>
      <c r="I58" s="244"/>
      <c r="J58" s="219"/>
    </row>
    <row r="59" spans="2:10" ht="13.5" thickTop="1" x14ac:dyDescent="0.2"/>
    <row r="60" spans="2:10" x14ac:dyDescent="0.2">
      <c r="B60" s="226"/>
      <c r="C60" s="242"/>
      <c r="H60" s="242"/>
    </row>
    <row r="61" spans="2:10" ht="15.75" customHeight="1" outlineLevel="2" x14ac:dyDescent="0.2">
      <c r="B61" s="226"/>
      <c r="C61" s="245"/>
      <c r="G61" s="226"/>
      <c r="H61" s="245"/>
    </row>
    <row r="62" spans="2:10" ht="15.75" customHeight="1" outlineLevel="2" x14ac:dyDescent="0.2">
      <c r="C62" s="245"/>
      <c r="G62" s="226"/>
      <c r="H62" s="245"/>
    </row>
    <row r="63" spans="2:10" ht="15.75" customHeight="1" outlineLevel="2" x14ac:dyDescent="0.2">
      <c r="B63" s="62" t="s">
        <v>325</v>
      </c>
      <c r="C63" s="62">
        <v>10</v>
      </c>
      <c r="G63" s="62" t="s">
        <v>325</v>
      </c>
      <c r="H63" s="62">
        <v>10</v>
      </c>
    </row>
    <row r="64" spans="2:10" ht="15.75" customHeight="1" outlineLevel="2" x14ac:dyDescent="0.2">
      <c r="B64" s="62" t="s">
        <v>326</v>
      </c>
      <c r="C64" s="62">
        <v>20</v>
      </c>
      <c r="G64" s="62" t="s">
        <v>326</v>
      </c>
      <c r="H64" s="62">
        <v>20</v>
      </c>
    </row>
    <row r="65" spans="2:9" ht="15.75" customHeight="1" outlineLevel="2" x14ac:dyDescent="0.2">
      <c r="B65" s="62" t="s">
        <v>327</v>
      </c>
      <c r="C65" s="62">
        <f>C63*C64</f>
        <v>200</v>
      </c>
      <c r="G65" s="62" t="s">
        <v>327</v>
      </c>
      <c r="H65" s="62">
        <f>H63*H64</f>
        <v>200</v>
      </c>
    </row>
    <row r="66" spans="2:9" ht="15.75" customHeight="1" outlineLevel="2" x14ac:dyDescent="0.2">
      <c r="B66" s="287" t="s">
        <v>328</v>
      </c>
      <c r="G66" s="287" t="s">
        <v>328</v>
      </c>
    </row>
    <row r="67" spans="2:9" ht="15.75" customHeight="1" outlineLevel="2" x14ac:dyDescent="0.2"/>
    <row r="68" spans="2:9" ht="15.75" customHeight="1" outlineLevel="2" x14ac:dyDescent="0.2">
      <c r="B68" s="338" t="s">
        <v>329</v>
      </c>
      <c r="C68" s="62">
        <v>330</v>
      </c>
      <c r="D68" s="62" t="s">
        <v>330</v>
      </c>
      <c r="G68" s="338" t="s">
        <v>329</v>
      </c>
      <c r="H68" s="62">
        <v>330</v>
      </c>
      <c r="I68" s="62" t="s">
        <v>330</v>
      </c>
    </row>
    <row r="69" spans="2:9" ht="15.75" customHeight="1" outlineLevel="2" x14ac:dyDescent="0.2"/>
    <row r="70" spans="2:9" ht="15.75" customHeight="1" outlineLevel="2" x14ac:dyDescent="0.2">
      <c r="B70" s="68" t="s">
        <v>331</v>
      </c>
    </row>
    <row r="71" spans="2:9" ht="15.75" customHeight="1" outlineLevel="2" x14ac:dyDescent="0.2">
      <c r="B71" s="62" t="s">
        <v>332</v>
      </c>
      <c r="G71" s="68" t="s">
        <v>331</v>
      </c>
    </row>
    <row r="72" spans="2:9" ht="15.75" customHeight="1" outlineLevel="2" x14ac:dyDescent="0.2">
      <c r="B72" s="62" t="s">
        <v>333</v>
      </c>
      <c r="G72" s="62" t="s">
        <v>332</v>
      </c>
    </row>
    <row r="73" spans="2:9" ht="15.75" customHeight="1" outlineLevel="2" x14ac:dyDescent="0.2">
      <c r="B73" s="62" t="s">
        <v>334</v>
      </c>
      <c r="G73" s="62" t="s">
        <v>333</v>
      </c>
    </row>
    <row r="74" spans="2:9" ht="15.75" customHeight="1" outlineLevel="2" x14ac:dyDescent="0.2">
      <c r="B74" s="62" t="s">
        <v>335</v>
      </c>
      <c r="G74" s="62" t="s">
        <v>334</v>
      </c>
    </row>
    <row r="75" spans="2:9" ht="15.75" customHeight="1" outlineLevel="2" x14ac:dyDescent="0.2">
      <c r="B75" s="62" t="s">
        <v>336</v>
      </c>
      <c r="G75" s="62" t="s">
        <v>335</v>
      </c>
    </row>
    <row r="76" spans="2:9" ht="15.75" customHeight="1" outlineLevel="2" x14ac:dyDescent="0.2">
      <c r="B76" s="62" t="s">
        <v>337</v>
      </c>
      <c r="G76" s="62" t="s">
        <v>336</v>
      </c>
    </row>
    <row r="77" spans="2:9" ht="15.75" customHeight="1" outlineLevel="2" x14ac:dyDescent="0.2">
      <c r="G77" s="62" t="s">
        <v>337</v>
      </c>
    </row>
    <row r="79" spans="2:9" x14ac:dyDescent="0.2">
      <c r="B79" s="62" t="s">
        <v>338</v>
      </c>
      <c r="G79" s="62" t="s">
        <v>338</v>
      </c>
    </row>
    <row r="80" spans="2:9" x14ac:dyDescent="0.2">
      <c r="B80" s="62" t="s">
        <v>339</v>
      </c>
      <c r="G80" s="62" t="s">
        <v>339</v>
      </c>
    </row>
    <row r="86" spans="3:6" x14ac:dyDescent="0.2">
      <c r="D86" s="199"/>
    </row>
    <row r="87" spans="3:6" x14ac:dyDescent="0.2">
      <c r="C87" s="62" t="s">
        <v>340</v>
      </c>
      <c r="D87" s="199"/>
      <c r="E87" s="199" t="s">
        <v>317</v>
      </c>
    </row>
    <row r="88" spans="3:6" x14ac:dyDescent="0.2">
      <c r="C88" s="247">
        <f>'Ekobi COGs - May 2023'!C58</f>
        <v>93.941858585858583</v>
      </c>
      <c r="D88" s="199">
        <v>2023</v>
      </c>
      <c r="E88" s="248">
        <v>330</v>
      </c>
      <c r="F88" s="62" t="s">
        <v>341</v>
      </c>
    </row>
    <row r="89" spans="3:6" x14ac:dyDescent="0.2">
      <c r="C89" s="247">
        <v>52.31</v>
      </c>
      <c r="D89" s="199">
        <v>2025</v>
      </c>
      <c r="E89" s="248">
        <v>660</v>
      </c>
      <c r="F89" s="62" t="s">
        <v>342</v>
      </c>
    </row>
    <row r="90" spans="3:6" x14ac:dyDescent="0.2">
      <c r="C90" s="247">
        <f>C89*(1-$C$96)</f>
        <v>36.093899999999998</v>
      </c>
      <c r="D90" s="199">
        <v>2029</v>
      </c>
      <c r="E90" s="248">
        <f>E89*2</f>
        <v>1320</v>
      </c>
    </row>
    <row r="91" spans="3:6" x14ac:dyDescent="0.2">
      <c r="C91" s="247">
        <f>C90*(1-$C$96)</f>
        <v>24.904790999999996</v>
      </c>
      <c r="D91" s="199">
        <v>2031</v>
      </c>
      <c r="E91" s="248">
        <f>E90*2</f>
        <v>2640</v>
      </c>
    </row>
    <row r="92" spans="3:6" x14ac:dyDescent="0.2">
      <c r="C92" s="247">
        <f>C91*(1-$C$96)</f>
        <v>17.184305789999996</v>
      </c>
      <c r="D92" s="199">
        <v>2034</v>
      </c>
      <c r="E92" s="248">
        <f>E91*2</f>
        <v>5280</v>
      </c>
    </row>
    <row r="93" spans="3:6" x14ac:dyDescent="0.2">
      <c r="C93" s="247">
        <f>C92*(1-$C$96)</f>
        <v>11.857170995099997</v>
      </c>
      <c r="D93" s="199">
        <v>2038</v>
      </c>
      <c r="E93" s="248">
        <f>E92*2</f>
        <v>10560</v>
      </c>
    </row>
    <row r="94" spans="3:6" x14ac:dyDescent="0.2">
      <c r="D94" s="199"/>
    </row>
    <row r="95" spans="3:6" x14ac:dyDescent="0.2">
      <c r="D95" s="199"/>
    </row>
    <row r="96" spans="3:6" x14ac:dyDescent="0.2">
      <c r="C96" s="249">
        <v>0.31</v>
      </c>
      <c r="D96" s="62" t="s">
        <v>343</v>
      </c>
    </row>
    <row r="97" spans="2:6" x14ac:dyDescent="0.2">
      <c r="D97" s="199"/>
    </row>
    <row r="98" spans="2:6" x14ac:dyDescent="0.2">
      <c r="D98" s="199"/>
    </row>
    <row r="103" spans="2:6" ht="15" x14ac:dyDescent="0.35">
      <c r="B103" s="61" t="s">
        <v>344</v>
      </c>
      <c r="D103" s="189" t="s">
        <v>345</v>
      </c>
      <c r="E103" s="189" t="s">
        <v>346</v>
      </c>
      <c r="F103" s="189" t="s">
        <v>347</v>
      </c>
    </row>
    <row r="105" spans="2:6" x14ac:dyDescent="0.2">
      <c r="B105" s="63" t="s">
        <v>271</v>
      </c>
      <c r="D105" s="190">
        <f>C12</f>
        <v>4500</v>
      </c>
      <c r="E105" s="190">
        <f>D12</f>
        <v>1350</v>
      </c>
      <c r="F105" s="191">
        <f>(E105/D105)-1</f>
        <v>-0.7</v>
      </c>
    </row>
    <row r="106" spans="2:6" x14ac:dyDescent="0.2">
      <c r="B106" s="63" t="s">
        <v>348</v>
      </c>
      <c r="D106" s="190">
        <f>C23</f>
        <v>2125.4499999999998</v>
      </c>
      <c r="E106" s="190">
        <f>D23</f>
        <v>2125.4499999999998</v>
      </c>
      <c r="F106" s="191">
        <f t="shared" ref="F106:F111" si="1">(E106/D106)-1</f>
        <v>0</v>
      </c>
    </row>
    <row r="107" spans="2:6" x14ac:dyDescent="0.2">
      <c r="B107" s="63" t="s">
        <v>349</v>
      </c>
      <c r="D107" s="190">
        <f>C29</f>
        <v>1403</v>
      </c>
      <c r="E107" s="190">
        <f>D29</f>
        <v>1403</v>
      </c>
      <c r="F107" s="191">
        <f t="shared" si="1"/>
        <v>0</v>
      </c>
    </row>
    <row r="108" spans="2:6" x14ac:dyDescent="0.2">
      <c r="B108" s="63" t="s">
        <v>350</v>
      </c>
      <c r="D108" s="190">
        <f>C38</f>
        <v>17124.55</v>
      </c>
      <c r="E108" s="190">
        <f>D38</f>
        <v>17124.55</v>
      </c>
      <c r="F108" s="191">
        <f t="shared" si="1"/>
        <v>0</v>
      </c>
    </row>
    <row r="109" spans="2:6" x14ac:dyDescent="0.2">
      <c r="B109" s="192" t="s">
        <v>305</v>
      </c>
      <c r="C109" s="193"/>
      <c r="D109" s="194">
        <f>SUM(D105:D108)</f>
        <v>25153</v>
      </c>
      <c r="E109" s="194">
        <f>SUM(E105:E108)</f>
        <v>22003</v>
      </c>
      <c r="F109" s="195">
        <f t="shared" si="1"/>
        <v>-0.12523357054824469</v>
      </c>
    </row>
    <row r="110" spans="2:6" x14ac:dyDescent="0.2">
      <c r="B110" s="63" t="s">
        <v>313</v>
      </c>
      <c r="D110" s="190">
        <f>C46</f>
        <v>5449.9800000000005</v>
      </c>
      <c r="E110" s="190">
        <f>D46</f>
        <v>2832.7200000000003</v>
      </c>
      <c r="F110" s="191">
        <f t="shared" si="1"/>
        <v>-0.48023295498332108</v>
      </c>
    </row>
    <row r="111" spans="2:6" x14ac:dyDescent="0.2">
      <c r="B111" s="196" t="s">
        <v>351</v>
      </c>
      <c r="C111" s="196"/>
      <c r="D111" s="197">
        <f>SUM(D109:D110)</f>
        <v>30602.98</v>
      </c>
      <c r="E111" s="197">
        <f>SUM(E109:E110)</f>
        <v>24835.72</v>
      </c>
      <c r="F111" s="198">
        <f t="shared" si="1"/>
        <v>-0.18845419629068794</v>
      </c>
    </row>
    <row r="112" spans="2:6" x14ac:dyDescent="0.2">
      <c r="D112" s="199"/>
      <c r="E112" s="199"/>
      <c r="F112" s="199"/>
    </row>
    <row r="113" spans="2:6" x14ac:dyDescent="0.2">
      <c r="B113" s="63" t="s">
        <v>352</v>
      </c>
      <c r="D113" s="199">
        <v>330</v>
      </c>
      <c r="E113" s="199">
        <v>330</v>
      </c>
      <c r="F113" s="191">
        <f t="shared" ref="F113:F118" si="2">(E113/D113)-1</f>
        <v>0</v>
      </c>
    </row>
    <row r="114" spans="2:6" x14ac:dyDescent="0.2">
      <c r="B114" s="63" t="s">
        <v>74</v>
      </c>
      <c r="D114" s="200">
        <f>D111/D113</f>
        <v>92.736303030303034</v>
      </c>
      <c r="E114" s="200">
        <f>E111/E113</f>
        <v>75.259757575757575</v>
      </c>
      <c r="F114" s="191">
        <f t="shared" si="2"/>
        <v>-0.18845419629068805</v>
      </c>
    </row>
    <row r="115" spans="2:6" x14ac:dyDescent="0.2">
      <c r="B115" s="63" t="s">
        <v>353</v>
      </c>
      <c r="D115" s="200">
        <v>1.21</v>
      </c>
      <c r="E115" s="200">
        <v>1.21</v>
      </c>
      <c r="F115" s="191">
        <f t="shared" si="2"/>
        <v>0</v>
      </c>
    </row>
    <row r="116" spans="2:6" x14ac:dyDescent="0.2">
      <c r="B116" s="201" t="s">
        <v>354</v>
      </c>
      <c r="C116" s="202"/>
      <c r="D116" s="203">
        <f>SUM(D114:D115)</f>
        <v>93.946303030303028</v>
      </c>
      <c r="E116" s="203">
        <f>SUM(E114:E115)</f>
        <v>76.469757575757569</v>
      </c>
      <c r="F116" s="204">
        <f t="shared" si="2"/>
        <v>-0.18602696317819212</v>
      </c>
    </row>
    <row r="117" spans="2:6" x14ac:dyDescent="0.2">
      <c r="D117" s="199"/>
      <c r="E117" s="199"/>
      <c r="F117" s="199"/>
    </row>
    <row r="118" spans="2:6" x14ac:dyDescent="0.2">
      <c r="B118" s="63" t="s">
        <v>355</v>
      </c>
      <c r="D118" s="190">
        <v>350</v>
      </c>
      <c r="E118" s="190">
        <v>350</v>
      </c>
      <c r="F118" s="191">
        <f t="shared" si="2"/>
        <v>0</v>
      </c>
    </row>
    <row r="119" spans="2:6" x14ac:dyDescent="0.2">
      <c r="D119" s="199"/>
      <c r="E119" s="199"/>
      <c r="F119" s="199"/>
    </row>
    <row r="120" spans="2:6" x14ac:dyDescent="0.2">
      <c r="B120" s="205" t="s">
        <v>356</v>
      </c>
      <c r="C120" s="206"/>
      <c r="D120" s="207">
        <f>D118-D116</f>
        <v>256.05369696969694</v>
      </c>
      <c r="E120" s="207">
        <f>E118-E116</f>
        <v>273.53024242424243</v>
      </c>
      <c r="F120" s="208">
        <f t="shared" ref="F120" si="3">(E120/D120)-1</f>
        <v>6.8253439264396754E-2</v>
      </c>
    </row>
    <row r="121" spans="2:6" x14ac:dyDescent="0.2">
      <c r="B121" s="209" t="s">
        <v>357</v>
      </c>
      <c r="C121" s="64"/>
      <c r="D121" s="210">
        <f>D120/D118</f>
        <v>0.73158199134199131</v>
      </c>
      <c r="E121" s="210">
        <f>E120/E118</f>
        <v>0.78151497835497841</v>
      </c>
      <c r="F121" s="211">
        <f>(E121-D121)*10000</f>
        <v>499.32987012987098</v>
      </c>
    </row>
  </sheetData>
  <pageMargins left="0.7" right="0.7" top="0.75" bottom="0.75" header="0.3" footer="0.3"/>
  <pageSetup orientation="landscape" horizontalDpi="0" verticalDpi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223DE-556F-4375-8148-2F58D16E9916}">
  <sheetPr>
    <tabColor theme="5" tint="0.79998168889431442"/>
  </sheetPr>
  <dimension ref="B4:V52"/>
  <sheetViews>
    <sheetView showGridLines="0" zoomScale="85" zoomScaleNormal="85" workbookViewId="0">
      <selection activeCell="N24" sqref="N24"/>
    </sheetView>
  </sheetViews>
  <sheetFormatPr defaultColWidth="8.875" defaultRowHeight="15.75" x14ac:dyDescent="0.25"/>
  <cols>
    <col min="2" max="2" width="27.625" customWidth="1"/>
    <col min="3" max="3" width="11.875" bestFit="1" customWidth="1"/>
    <col min="6" max="7" width="10.125" customWidth="1"/>
    <col min="11" max="11" width="24.375" customWidth="1"/>
    <col min="12" max="12" width="14.125" bestFit="1" customWidth="1"/>
    <col min="13" max="13" width="17.625" bestFit="1" customWidth="1"/>
    <col min="14" max="14" width="19.375" bestFit="1" customWidth="1"/>
    <col min="16" max="22" width="10.625" customWidth="1"/>
  </cols>
  <sheetData>
    <row r="4" spans="2:22" x14ac:dyDescent="0.25">
      <c r="B4" s="108" t="s">
        <v>133</v>
      </c>
      <c r="C4" s="153"/>
      <c r="D4" s="153"/>
      <c r="E4" s="153"/>
      <c r="F4" s="153"/>
      <c r="G4" s="153"/>
      <c r="K4" s="108" t="s">
        <v>142</v>
      </c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</row>
    <row r="5" spans="2:22" x14ac:dyDescent="0.25">
      <c r="Q5" s="103" t="s">
        <v>146</v>
      </c>
      <c r="R5" s="104"/>
      <c r="S5" s="104"/>
      <c r="T5" s="104"/>
      <c r="U5" s="104"/>
      <c r="V5" s="104"/>
    </row>
    <row r="6" spans="2:22" ht="16.5" thickBot="1" x14ac:dyDescent="0.3">
      <c r="B6" t="s">
        <v>134</v>
      </c>
      <c r="C6" t="s">
        <v>135</v>
      </c>
      <c r="D6" t="s">
        <v>136</v>
      </c>
      <c r="E6" t="s">
        <v>137</v>
      </c>
      <c r="F6" t="s">
        <v>138</v>
      </c>
      <c r="G6" t="s">
        <v>139</v>
      </c>
      <c r="K6" s="180"/>
      <c r="L6" s="180" t="s">
        <v>451</v>
      </c>
      <c r="M6" s="180" t="s">
        <v>141</v>
      </c>
      <c r="N6" s="180" t="s">
        <v>143</v>
      </c>
      <c r="O6" s="180" t="s">
        <v>144</v>
      </c>
      <c r="P6" s="180" t="s">
        <v>449</v>
      </c>
      <c r="Q6" s="102">
        <v>2023</v>
      </c>
      <c r="R6" s="102">
        <v>2024</v>
      </c>
      <c r="S6" s="102">
        <v>2025</v>
      </c>
      <c r="T6" s="102">
        <v>2026</v>
      </c>
      <c r="U6" s="102">
        <v>2027</v>
      </c>
      <c r="V6" s="102">
        <v>2028</v>
      </c>
    </row>
    <row r="7" spans="2:22" x14ac:dyDescent="0.25">
      <c r="B7" t="s">
        <v>128</v>
      </c>
      <c r="C7" s="314">
        <v>2664.53</v>
      </c>
      <c r="D7" s="314">
        <v>6840.52</v>
      </c>
      <c r="E7" s="314">
        <v>21611.69</v>
      </c>
      <c r="F7" s="3">
        <f>E7/$E$12</f>
        <v>0.42164469934947707</v>
      </c>
      <c r="G7" s="3">
        <v>0.21129999999999999</v>
      </c>
      <c r="I7" s="105"/>
      <c r="K7" t="s">
        <v>128</v>
      </c>
      <c r="L7" s="305">
        <f>Table1[[#This Row],[2022]]</f>
        <v>21611.69</v>
      </c>
      <c r="M7" s="97">
        <v>0.31459530777382433</v>
      </c>
      <c r="N7" s="105">
        <f>M7*L7</f>
        <v>6798.9362670624814</v>
      </c>
      <c r="P7" s="96">
        <f t="shared" ref="P7:P12" si="0">N7/$N$12</f>
        <v>0.42164469934947707</v>
      </c>
      <c r="Q7" s="99">
        <f>Q$12*$P7</f>
        <v>7342.8511684274808</v>
      </c>
      <c r="R7" s="99">
        <f t="shared" ref="R7:V11" si="1">R$12*$P7</f>
        <v>7930.27926190168</v>
      </c>
      <c r="S7" s="99">
        <f t="shared" si="1"/>
        <v>8564.7016028538146</v>
      </c>
      <c r="T7" s="99">
        <f t="shared" si="1"/>
        <v>9249.8777310821188</v>
      </c>
      <c r="U7" s="99">
        <f t="shared" si="1"/>
        <v>9989.8679495686883</v>
      </c>
      <c r="V7" s="99">
        <f t="shared" si="1"/>
        <v>10789.057385534185</v>
      </c>
    </row>
    <row r="8" spans="2:22" x14ac:dyDescent="0.25">
      <c r="B8" t="s">
        <v>129</v>
      </c>
      <c r="C8" s="314">
        <v>666.3</v>
      </c>
      <c r="D8" s="314">
        <v>1540.73</v>
      </c>
      <c r="E8" s="314">
        <v>4707.6000000000004</v>
      </c>
      <c r="F8" s="3">
        <f t="shared" ref="F8:F12" si="2">E8/$E$12</f>
        <v>9.1845412675158611E-2</v>
      </c>
      <c r="G8" s="3">
        <v>0.2046</v>
      </c>
      <c r="I8" s="105"/>
      <c r="K8" t="s">
        <v>129</v>
      </c>
      <c r="L8" s="305">
        <f>Table1[[#This Row],[2022]]</f>
        <v>4707.6000000000004</v>
      </c>
      <c r="M8" s="97">
        <v>0.31459530777382433</v>
      </c>
      <c r="N8" s="105">
        <f t="shared" ref="N8:N11" si="3">M8*L8</f>
        <v>1480.9888708760554</v>
      </c>
      <c r="P8" s="96">
        <f t="shared" si="0"/>
        <v>9.1845412675158597E-2</v>
      </c>
      <c r="Q8" s="99">
        <f t="shared" ref="Q8:Q11" si="4">Q$12*$P8</f>
        <v>1599.4679805461401</v>
      </c>
      <c r="R8" s="99">
        <f t="shared" si="1"/>
        <v>1727.4254189898313</v>
      </c>
      <c r="S8" s="99">
        <f t="shared" si="1"/>
        <v>1865.6194525090179</v>
      </c>
      <c r="T8" s="99">
        <f t="shared" si="1"/>
        <v>2014.8690087097393</v>
      </c>
      <c r="U8" s="99">
        <f t="shared" si="1"/>
        <v>2176.0585294065186</v>
      </c>
      <c r="V8" s="99">
        <f t="shared" si="1"/>
        <v>2350.1432117590402</v>
      </c>
    </row>
    <row r="9" spans="2:22" x14ac:dyDescent="0.25">
      <c r="B9" t="s">
        <v>130</v>
      </c>
      <c r="C9" s="314">
        <v>2004.76</v>
      </c>
      <c r="D9" s="314">
        <v>5186.33</v>
      </c>
      <c r="E9" s="314">
        <v>16877.95</v>
      </c>
      <c r="F9" s="3">
        <f t="shared" si="2"/>
        <v>0.32928929451539918</v>
      </c>
      <c r="G9" s="3">
        <v>0.21729999999999999</v>
      </c>
      <c r="I9" s="105"/>
      <c r="K9" t="s">
        <v>130</v>
      </c>
      <c r="L9" s="305">
        <f>Table1[[#This Row],[2022]]</f>
        <v>16877.95</v>
      </c>
      <c r="M9" s="97">
        <v>0.31459530777382433</v>
      </c>
      <c r="N9" s="105">
        <f t="shared" si="3"/>
        <v>5309.7238748412183</v>
      </c>
      <c r="P9" s="96">
        <f t="shared" si="0"/>
        <v>0.32928929451539912</v>
      </c>
      <c r="Q9" s="99">
        <f t="shared" si="4"/>
        <v>5734.5017848285161</v>
      </c>
      <c r="R9" s="99">
        <f t="shared" si="1"/>
        <v>6193.261927614798</v>
      </c>
      <c r="S9" s="99">
        <f t="shared" si="1"/>
        <v>6688.7228818239819</v>
      </c>
      <c r="T9" s="99">
        <f t="shared" si="1"/>
        <v>7223.8207123699003</v>
      </c>
      <c r="U9" s="99">
        <f t="shared" si="1"/>
        <v>7801.7263693594923</v>
      </c>
      <c r="V9" s="99">
        <f t="shared" si="1"/>
        <v>8425.8644789082518</v>
      </c>
    </row>
    <row r="10" spans="2:22" x14ac:dyDescent="0.25">
      <c r="B10" t="s">
        <v>131</v>
      </c>
      <c r="C10" s="314">
        <v>340.73</v>
      </c>
      <c r="D10" s="314">
        <v>872.96</v>
      </c>
      <c r="E10" s="314">
        <v>2742.2</v>
      </c>
      <c r="F10" s="3">
        <f t="shared" si="2"/>
        <v>5.3500401613947639E-2</v>
      </c>
      <c r="G10" s="3">
        <v>0.2102</v>
      </c>
      <c r="K10" t="s">
        <v>131</v>
      </c>
      <c r="L10" s="305">
        <f>Table1[[#This Row],[2022]]</f>
        <v>2742.2</v>
      </c>
      <c r="M10" s="97">
        <v>0.31459530777382433</v>
      </c>
      <c r="N10" s="105">
        <f t="shared" si="3"/>
        <v>862.68325297738102</v>
      </c>
      <c r="P10" s="96">
        <f t="shared" si="0"/>
        <v>5.3500401613947639E-2</v>
      </c>
      <c r="Q10" s="99">
        <f t="shared" si="4"/>
        <v>931.69791321557159</v>
      </c>
      <c r="R10" s="99">
        <f t="shared" si="1"/>
        <v>1006.2337462728175</v>
      </c>
      <c r="S10" s="99">
        <f t="shared" si="1"/>
        <v>1086.7324459746428</v>
      </c>
      <c r="T10" s="99">
        <f t="shared" si="1"/>
        <v>1173.6710416526143</v>
      </c>
      <c r="U10" s="99">
        <f t="shared" si="1"/>
        <v>1267.5647249848234</v>
      </c>
      <c r="V10" s="99">
        <f t="shared" si="1"/>
        <v>1368.9699029836095</v>
      </c>
    </row>
    <row r="11" spans="2:22" x14ac:dyDescent="0.25">
      <c r="B11" t="s">
        <v>132</v>
      </c>
      <c r="C11" s="314">
        <v>846.09</v>
      </c>
      <c r="D11" s="314">
        <v>1954.64</v>
      </c>
      <c r="E11" s="314">
        <v>5316.25</v>
      </c>
      <c r="F11" s="3">
        <f t="shared" si="2"/>
        <v>0.10372019184601748</v>
      </c>
      <c r="G11" s="3">
        <v>0.18149999999999999</v>
      </c>
      <c r="K11" t="s">
        <v>132</v>
      </c>
      <c r="L11" s="305">
        <f>Table1[[#This Row],[2022]]</f>
        <v>5316.25</v>
      </c>
      <c r="M11" s="97">
        <v>0.31459530777382433</v>
      </c>
      <c r="N11" s="105">
        <f t="shared" si="3"/>
        <v>1672.4673049525936</v>
      </c>
      <c r="P11" s="96">
        <f t="shared" si="0"/>
        <v>0.10372019184601748</v>
      </c>
      <c r="Q11" s="99">
        <f t="shared" si="4"/>
        <v>1806.2646893488013</v>
      </c>
      <c r="R11" s="99">
        <f t="shared" si="1"/>
        <v>1950.7658644967055</v>
      </c>
      <c r="S11" s="99">
        <f t="shared" si="1"/>
        <v>2106.8271336564421</v>
      </c>
      <c r="T11" s="99">
        <f t="shared" si="1"/>
        <v>2275.3733043489574</v>
      </c>
      <c r="U11" s="99">
        <f t="shared" si="1"/>
        <v>2457.4031686968738</v>
      </c>
      <c r="V11" s="99">
        <f t="shared" si="1"/>
        <v>2653.9954221926241</v>
      </c>
    </row>
    <row r="12" spans="2:22" x14ac:dyDescent="0.25">
      <c r="B12" s="2" t="s">
        <v>10</v>
      </c>
      <c r="C12" s="2">
        <f>SUM(C7:C11)</f>
        <v>6522.41</v>
      </c>
      <c r="D12" s="2">
        <f>SUM(D7:D11)</f>
        <v>16395.18</v>
      </c>
      <c r="E12" s="2">
        <f>SUM(E7:E11)</f>
        <v>51255.69</v>
      </c>
      <c r="F12" s="95">
        <f t="shared" si="2"/>
        <v>1</v>
      </c>
      <c r="G12" s="95">
        <v>0.2092</v>
      </c>
      <c r="K12" s="181" t="s">
        <v>10</v>
      </c>
      <c r="L12" s="306">
        <f>SUM(L7:L11)</f>
        <v>51255.69</v>
      </c>
      <c r="M12" s="181"/>
      <c r="N12" s="183">
        <f>SUM(N7:N11)</f>
        <v>16124.799570709731</v>
      </c>
      <c r="O12" s="302">
        <v>0.08</v>
      </c>
      <c r="P12" s="303">
        <f t="shared" si="0"/>
        <v>1</v>
      </c>
      <c r="Q12" s="182">
        <f>N12*(1+$O$12)</f>
        <v>17414.783536366511</v>
      </c>
      <c r="R12" s="182">
        <f>Q12*(1+$O$12)</f>
        <v>18807.966219275833</v>
      </c>
      <c r="S12" s="182">
        <f t="shared" ref="S12:V12" si="5">R12*(1+$O$12)</f>
        <v>20312.603516817901</v>
      </c>
      <c r="T12" s="182">
        <f t="shared" si="5"/>
        <v>21937.611798163332</v>
      </c>
      <c r="U12" s="182">
        <f t="shared" si="5"/>
        <v>23692.620742016399</v>
      </c>
      <c r="V12" s="182">
        <f t="shared" si="5"/>
        <v>25588.030401377713</v>
      </c>
    </row>
    <row r="13" spans="2:22" x14ac:dyDescent="0.25">
      <c r="L13" s="305"/>
      <c r="N13" s="105"/>
    </row>
    <row r="14" spans="2:22" x14ac:dyDescent="0.25">
      <c r="B14" t="s">
        <v>140</v>
      </c>
      <c r="K14" s="307" t="s">
        <v>450</v>
      </c>
      <c r="L14" s="315">
        <v>131.19</v>
      </c>
      <c r="M14" s="308">
        <v>0.31459530777382433</v>
      </c>
      <c r="N14" s="309">
        <f t="shared" ref="N14" si="6">M14*L14</f>
        <v>41.27175842684801</v>
      </c>
      <c r="O14" s="307"/>
      <c r="P14" s="310">
        <f>N14/$N$12</f>
        <v>2.5595207088227666E-3</v>
      </c>
    </row>
    <row r="15" spans="2:22" x14ac:dyDescent="0.25">
      <c r="L15" s="96"/>
    </row>
    <row r="16" spans="2:22" x14ac:dyDescent="0.25">
      <c r="K16" t="s">
        <v>147</v>
      </c>
    </row>
    <row r="18" spans="2:18" x14ac:dyDescent="0.25">
      <c r="B18" s="108" t="s">
        <v>383</v>
      </c>
      <c r="C18" s="153"/>
      <c r="D18" s="153"/>
      <c r="E18" s="153"/>
      <c r="F18" s="153"/>
      <c r="G18" s="153"/>
      <c r="H18" s="153"/>
    </row>
    <row r="19" spans="2:18" x14ac:dyDescent="0.25">
      <c r="K19" s="108" t="s">
        <v>367</v>
      </c>
      <c r="L19" s="153"/>
      <c r="M19" s="153"/>
      <c r="N19" s="153"/>
      <c r="O19" s="153"/>
      <c r="P19" s="153"/>
      <c r="Q19" s="153"/>
      <c r="R19" s="153"/>
    </row>
    <row r="20" spans="2:18" ht="16.5" thickBot="1" x14ac:dyDescent="0.3">
      <c r="B20" s="180" t="s">
        <v>386</v>
      </c>
      <c r="C20" s="261"/>
    </row>
    <row r="21" spans="2:18" ht="16.5" thickBot="1" x14ac:dyDescent="0.3">
      <c r="B21" t="s">
        <v>384</v>
      </c>
      <c r="C21" s="256">
        <v>10293</v>
      </c>
      <c r="K21" s="180" t="s">
        <v>250</v>
      </c>
      <c r="L21" s="180" t="s">
        <v>230</v>
      </c>
      <c r="M21" s="180" t="s">
        <v>251</v>
      </c>
    </row>
    <row r="22" spans="2:18" x14ac:dyDescent="0.25">
      <c r="B22" t="s">
        <v>387</v>
      </c>
      <c r="C22" s="257">
        <v>0.86</v>
      </c>
      <c r="K22" t="s">
        <v>0</v>
      </c>
      <c r="L22" s="256">
        <v>339665118</v>
      </c>
      <c r="M22" s="96">
        <f>L22/$L$25</f>
        <v>0.66855660278831142</v>
      </c>
    </row>
    <row r="23" spans="2:18" x14ac:dyDescent="0.25">
      <c r="B23" s="258" t="s">
        <v>387</v>
      </c>
      <c r="C23" s="178">
        <f>C22*C21</f>
        <v>8851.98</v>
      </c>
      <c r="K23" t="s">
        <v>148</v>
      </c>
      <c r="L23" s="256">
        <v>129875529</v>
      </c>
      <c r="M23" s="96">
        <f>L23/$L$25</f>
        <v>0.25563161435250709</v>
      </c>
    </row>
    <row r="24" spans="2:18" x14ac:dyDescent="0.25">
      <c r="B24" t="s">
        <v>389</v>
      </c>
      <c r="C24" s="259">
        <v>2.5</v>
      </c>
      <c r="D24" t="s">
        <v>452</v>
      </c>
      <c r="K24" t="s">
        <v>3</v>
      </c>
      <c r="L24" s="256">
        <v>38516736</v>
      </c>
      <c r="M24" s="96">
        <f>L24/$L$25</f>
        <v>7.5811782859181484E-2</v>
      </c>
    </row>
    <row r="25" spans="2:18" x14ac:dyDescent="0.25">
      <c r="B25" s="181" t="s">
        <v>388</v>
      </c>
      <c r="C25" s="260">
        <f>C23/C24</f>
        <v>3540.7919999999999</v>
      </c>
      <c r="L25" s="178">
        <f>SUM(L22:L24)</f>
        <v>508057383</v>
      </c>
      <c r="M25" s="179">
        <f>L25/$L$25</f>
        <v>1</v>
      </c>
    </row>
    <row r="27" spans="2:18" x14ac:dyDescent="0.25">
      <c r="B27" t="s">
        <v>385</v>
      </c>
      <c r="M27" s="103" t="s">
        <v>146</v>
      </c>
      <c r="N27" s="104"/>
      <c r="O27" s="104"/>
      <c r="P27" s="104"/>
      <c r="Q27" s="104"/>
      <c r="R27" s="104"/>
    </row>
    <row r="28" spans="2:18" ht="16.5" thickBot="1" x14ac:dyDescent="0.3">
      <c r="K28" s="180" t="s">
        <v>3</v>
      </c>
      <c r="L28" s="180" t="s">
        <v>249</v>
      </c>
      <c r="M28" s="102">
        <v>2023</v>
      </c>
      <c r="N28" s="102">
        <v>2024</v>
      </c>
      <c r="O28" s="102">
        <v>2025</v>
      </c>
      <c r="P28" s="102">
        <v>2026</v>
      </c>
      <c r="Q28" s="102">
        <v>2027</v>
      </c>
      <c r="R28" s="102">
        <v>2028</v>
      </c>
    </row>
    <row r="29" spans="2:18" ht="16.5" thickBot="1" x14ac:dyDescent="0.3">
      <c r="B29" s="180" t="s">
        <v>390</v>
      </c>
      <c r="C29" s="261"/>
      <c r="K29" t="s">
        <v>128</v>
      </c>
      <c r="L29" s="96">
        <f>$M$24</f>
        <v>7.5811782859181484E-2</v>
      </c>
      <c r="M29" s="105">
        <f t="shared" ref="M29:R31" si="7">$L29*Q7</f>
        <v>556.67463834811122</v>
      </c>
      <c r="N29" s="105">
        <f t="shared" si="7"/>
        <v>601.20860941596015</v>
      </c>
      <c r="O29" s="105">
        <f t="shared" si="7"/>
        <v>649.30529816923706</v>
      </c>
      <c r="P29" s="105">
        <f t="shared" si="7"/>
        <v>701.24972202277593</v>
      </c>
      <c r="Q29" s="105">
        <f t="shared" si="7"/>
        <v>757.34969978459799</v>
      </c>
      <c r="R29" s="105">
        <f t="shared" si="7"/>
        <v>817.93767576736593</v>
      </c>
    </row>
    <row r="30" spans="2:18" x14ac:dyDescent="0.25">
      <c r="B30" t="s">
        <v>384</v>
      </c>
      <c r="C30" s="256">
        <v>172</v>
      </c>
      <c r="K30" t="s">
        <v>129</v>
      </c>
      <c r="L30" s="96">
        <f>$M$24</f>
        <v>7.5811782859181484E-2</v>
      </c>
      <c r="M30" s="105">
        <f t="shared" si="7"/>
        <v>121.25851923137749</v>
      </c>
      <c r="N30" s="105">
        <f t="shared" si="7"/>
        <v>130.95920076988767</v>
      </c>
      <c r="O30" s="105">
        <f t="shared" si="7"/>
        <v>141.4359368314787</v>
      </c>
      <c r="P30" s="105">
        <f t="shared" si="7"/>
        <v>152.750811777997</v>
      </c>
      <c r="Q30" s="105">
        <f t="shared" si="7"/>
        <v>164.97087672023676</v>
      </c>
      <c r="R30" s="105">
        <f t="shared" si="7"/>
        <v>178.16854685785572</v>
      </c>
    </row>
    <row r="31" spans="2:18" x14ac:dyDescent="0.25">
      <c r="B31" t="s">
        <v>387</v>
      </c>
      <c r="C31" s="257">
        <v>0.86</v>
      </c>
      <c r="D31" t="s">
        <v>394</v>
      </c>
      <c r="K31" t="s">
        <v>130</v>
      </c>
      <c r="L31" s="96">
        <f>$M$24</f>
        <v>7.5811782859181484E-2</v>
      </c>
      <c r="M31" s="105">
        <f t="shared" si="7"/>
        <v>434.74280411700812</v>
      </c>
      <c r="N31" s="105">
        <f t="shared" si="7"/>
        <v>469.52222844636884</v>
      </c>
      <c r="O31" s="105">
        <f t="shared" si="7"/>
        <v>507.08400672207836</v>
      </c>
      <c r="P31" s="105">
        <f t="shared" si="7"/>
        <v>547.65072725984464</v>
      </c>
      <c r="Q31" s="105">
        <f t="shared" si="7"/>
        <v>591.46278544063216</v>
      </c>
      <c r="R31" s="105">
        <f t="shared" si="7"/>
        <v>638.77980827588271</v>
      </c>
    </row>
    <row r="32" spans="2:18" x14ac:dyDescent="0.25">
      <c r="B32" s="258" t="s">
        <v>387</v>
      </c>
      <c r="C32" s="178">
        <f>C31*C30</f>
        <v>147.91999999999999</v>
      </c>
      <c r="K32" t="s">
        <v>131</v>
      </c>
      <c r="L32" s="304" t="s">
        <v>23</v>
      </c>
      <c r="M32" s="304" t="s">
        <v>23</v>
      </c>
      <c r="N32" s="304" t="s">
        <v>23</v>
      </c>
      <c r="O32" s="304" t="s">
        <v>23</v>
      </c>
      <c r="P32" s="304" t="s">
        <v>23</v>
      </c>
      <c r="Q32" s="304" t="s">
        <v>23</v>
      </c>
      <c r="R32" s="304" t="s">
        <v>23</v>
      </c>
    </row>
    <row r="33" spans="2:18" x14ac:dyDescent="0.25">
      <c r="B33" t="s">
        <v>389</v>
      </c>
      <c r="C33" s="259">
        <v>2</v>
      </c>
      <c r="D33" t="s">
        <v>393</v>
      </c>
      <c r="K33" t="s">
        <v>132</v>
      </c>
      <c r="L33" s="304" t="s">
        <v>23</v>
      </c>
      <c r="M33" s="304" t="s">
        <v>23</v>
      </c>
      <c r="N33" s="304" t="s">
        <v>23</v>
      </c>
      <c r="O33" s="304" t="s">
        <v>23</v>
      </c>
      <c r="P33" s="304" t="s">
        <v>23</v>
      </c>
      <c r="Q33" s="304" t="s">
        <v>23</v>
      </c>
      <c r="R33" s="304" t="s">
        <v>23</v>
      </c>
    </row>
    <row r="34" spans="2:18" x14ac:dyDescent="0.25">
      <c r="B34" s="181" t="s">
        <v>388</v>
      </c>
      <c r="C34" s="260">
        <f>C32/C33</f>
        <v>73.959999999999994</v>
      </c>
      <c r="K34" s="181" t="s">
        <v>10</v>
      </c>
      <c r="L34" s="181"/>
      <c r="M34" s="183">
        <f>SUM(M29:M33)</f>
        <v>1112.6759616964969</v>
      </c>
      <c r="N34" s="183">
        <f>SUM(N29:N33)</f>
        <v>1201.6900386322168</v>
      </c>
      <c r="O34" s="183">
        <f t="shared" ref="O34:R34" si="8">SUM(O29:O33)</f>
        <v>1297.8252417227941</v>
      </c>
      <c r="P34" s="183">
        <f t="shared" si="8"/>
        <v>1401.6512610606176</v>
      </c>
      <c r="Q34" s="183">
        <f t="shared" si="8"/>
        <v>1513.7833619454668</v>
      </c>
      <c r="R34" s="183">
        <f t="shared" si="8"/>
        <v>1634.8860309011043</v>
      </c>
    </row>
    <row r="36" spans="2:18" x14ac:dyDescent="0.25">
      <c r="B36" t="s">
        <v>391</v>
      </c>
      <c r="M36" s="103" t="s">
        <v>146</v>
      </c>
      <c r="N36" s="104"/>
      <c r="O36" s="104"/>
      <c r="P36" s="104"/>
      <c r="Q36" s="104"/>
      <c r="R36" s="104"/>
    </row>
    <row r="37" spans="2:18" ht="16.5" thickBot="1" x14ac:dyDescent="0.3">
      <c r="B37" t="s">
        <v>392</v>
      </c>
      <c r="K37" s="180" t="s">
        <v>0</v>
      </c>
      <c r="L37" s="180" t="s">
        <v>249</v>
      </c>
      <c r="M37" s="102">
        <v>2023</v>
      </c>
      <c r="N37" s="102">
        <v>2024</v>
      </c>
      <c r="O37" s="102">
        <v>2025</v>
      </c>
      <c r="P37" s="102">
        <v>2026</v>
      </c>
      <c r="Q37" s="102">
        <v>2027</v>
      </c>
      <c r="R37" s="102">
        <v>2028</v>
      </c>
    </row>
    <row r="38" spans="2:18" x14ac:dyDescent="0.25">
      <c r="K38" t="s">
        <v>128</v>
      </c>
      <c r="L38" s="96">
        <f>$M$22</f>
        <v>0.66855660278831142</v>
      </c>
      <c r="M38" s="105">
        <f t="shared" ref="M38:R39" si="9">$L38*Q7</f>
        <v>4909.1116319440598</v>
      </c>
      <c r="N38" s="105">
        <f t="shared" si="9"/>
        <v>5301.8405624995848</v>
      </c>
      <c r="O38" s="105">
        <f t="shared" si="9"/>
        <v>5725.9878074995522</v>
      </c>
      <c r="P38" s="105">
        <f t="shared" si="9"/>
        <v>6184.0668320995155</v>
      </c>
      <c r="Q38" s="105">
        <f t="shared" si="9"/>
        <v>6678.7921786674769</v>
      </c>
      <c r="R38" s="105">
        <f t="shared" si="9"/>
        <v>7213.0955529608755</v>
      </c>
    </row>
    <row r="39" spans="2:18" x14ac:dyDescent="0.25">
      <c r="K39" t="s">
        <v>129</v>
      </c>
      <c r="L39" s="96">
        <f>$M$22</f>
        <v>0.66855660278831142</v>
      </c>
      <c r="M39" s="105">
        <f t="shared" si="9"/>
        <v>1069.3348793426085</v>
      </c>
      <c r="N39" s="105">
        <f t="shared" si="9"/>
        <v>1154.8816696900171</v>
      </c>
      <c r="O39" s="105">
        <f t="shared" si="9"/>
        <v>1247.2722032652184</v>
      </c>
      <c r="P39" s="105">
        <f t="shared" si="9"/>
        <v>1347.053979526436</v>
      </c>
      <c r="Q39" s="105">
        <f t="shared" si="9"/>
        <v>1454.8182978885509</v>
      </c>
      <c r="R39" s="105">
        <f t="shared" si="9"/>
        <v>1571.2037617196352</v>
      </c>
    </row>
    <row r="40" spans="2:18" x14ac:dyDescent="0.25">
      <c r="K40" t="s">
        <v>130</v>
      </c>
      <c r="L40" s="96">
        <f>$M$22</f>
        <v>0.66855660278831142</v>
      </c>
      <c r="M40" s="105">
        <f t="shared" ref="M40:R40" si="10">$L40*Q18</f>
        <v>0</v>
      </c>
      <c r="N40" s="105">
        <f t="shared" si="10"/>
        <v>0</v>
      </c>
      <c r="O40" s="105">
        <f t="shared" si="10"/>
        <v>0</v>
      </c>
      <c r="P40" s="105">
        <f t="shared" si="10"/>
        <v>0</v>
      </c>
      <c r="Q40" s="105">
        <f t="shared" si="10"/>
        <v>0</v>
      </c>
      <c r="R40" s="105">
        <f t="shared" si="10"/>
        <v>0</v>
      </c>
    </row>
    <row r="41" spans="2:18" x14ac:dyDescent="0.25">
      <c r="K41" t="s">
        <v>131</v>
      </c>
      <c r="L41" s="304" t="s">
        <v>23</v>
      </c>
      <c r="M41" s="304" t="s">
        <v>23</v>
      </c>
      <c r="N41" s="304" t="s">
        <v>23</v>
      </c>
      <c r="O41" s="304" t="s">
        <v>23</v>
      </c>
      <c r="P41" s="304" t="s">
        <v>23</v>
      </c>
      <c r="Q41" s="304" t="s">
        <v>23</v>
      </c>
      <c r="R41" s="304" t="s">
        <v>23</v>
      </c>
    </row>
    <row r="42" spans="2:18" x14ac:dyDescent="0.25">
      <c r="K42" t="s">
        <v>132</v>
      </c>
      <c r="L42" s="304" t="s">
        <v>23</v>
      </c>
      <c r="M42" s="304" t="s">
        <v>23</v>
      </c>
      <c r="N42" s="304" t="s">
        <v>23</v>
      </c>
      <c r="O42" s="304" t="s">
        <v>23</v>
      </c>
      <c r="P42" s="304" t="s">
        <v>23</v>
      </c>
      <c r="Q42" s="304" t="s">
        <v>23</v>
      </c>
      <c r="R42" s="304" t="s">
        <v>23</v>
      </c>
    </row>
    <row r="43" spans="2:18" x14ac:dyDescent="0.25">
      <c r="K43" s="181" t="s">
        <v>10</v>
      </c>
      <c r="L43" s="181"/>
      <c r="M43" s="183">
        <f>SUM(M38:M42)</f>
        <v>5978.4465112866683</v>
      </c>
      <c r="N43" s="183">
        <f>SUM(N38:N42)</f>
        <v>6456.7222321896024</v>
      </c>
      <c r="O43" s="183">
        <f t="shared" ref="O43:R43" si="11">SUM(O38:O42)</f>
        <v>6973.2600107647704</v>
      </c>
      <c r="P43" s="183">
        <f t="shared" si="11"/>
        <v>7531.1208116259513</v>
      </c>
      <c r="Q43" s="183">
        <f t="shared" si="11"/>
        <v>8133.6104765560276</v>
      </c>
      <c r="R43" s="183">
        <f t="shared" si="11"/>
        <v>8784.2993146805111</v>
      </c>
    </row>
    <row r="45" spans="2:18" x14ac:dyDescent="0.25">
      <c r="M45" s="103" t="s">
        <v>146</v>
      </c>
      <c r="N45" s="104"/>
      <c r="O45" s="104"/>
      <c r="P45" s="104"/>
      <c r="Q45" s="104"/>
      <c r="R45" s="104"/>
    </row>
    <row r="46" spans="2:18" ht="16.5" thickBot="1" x14ac:dyDescent="0.3">
      <c r="K46" s="180" t="s">
        <v>256</v>
      </c>
      <c r="L46" s="180" t="s">
        <v>249</v>
      </c>
      <c r="M46" s="102">
        <v>2023</v>
      </c>
      <c r="N46" s="102">
        <v>2024</v>
      </c>
      <c r="O46" s="102">
        <v>2025</v>
      </c>
      <c r="P46" s="102">
        <v>2026</v>
      </c>
      <c r="Q46" s="102">
        <v>2027</v>
      </c>
      <c r="R46" s="102">
        <v>2028</v>
      </c>
    </row>
    <row r="47" spans="2:18" x14ac:dyDescent="0.25">
      <c r="K47" t="s">
        <v>128</v>
      </c>
      <c r="L47" s="96">
        <f>SUM(L29,L38)</f>
        <v>0.74436838564749286</v>
      </c>
      <c r="M47" s="105">
        <f t="shared" ref="M47:R47" si="12">SUM(M29,M38)</f>
        <v>5465.7862702921711</v>
      </c>
      <c r="N47" s="105">
        <f t="shared" si="12"/>
        <v>5903.0491719155452</v>
      </c>
      <c r="O47" s="105">
        <f t="shared" si="12"/>
        <v>6375.2931056687894</v>
      </c>
      <c r="P47" s="105">
        <f t="shared" si="12"/>
        <v>6885.3165541222916</v>
      </c>
      <c r="Q47" s="105">
        <f t="shared" si="12"/>
        <v>7436.1418784520747</v>
      </c>
      <c r="R47" s="105">
        <f t="shared" si="12"/>
        <v>8031.0332287282417</v>
      </c>
    </row>
    <row r="48" spans="2:18" x14ac:dyDescent="0.25">
      <c r="K48" t="s">
        <v>129</v>
      </c>
      <c r="L48" s="96">
        <f t="shared" ref="L48:R49" si="13">SUM(L30,L39)</f>
        <v>0.74436838564749286</v>
      </c>
      <c r="M48" s="105">
        <f t="shared" si="13"/>
        <v>1190.593398573986</v>
      </c>
      <c r="N48" s="105">
        <f t="shared" si="13"/>
        <v>1285.8408704599049</v>
      </c>
      <c r="O48" s="105">
        <f t="shared" si="13"/>
        <v>1388.7081400966972</v>
      </c>
      <c r="P48" s="105">
        <f t="shared" si="13"/>
        <v>1499.8047913044329</v>
      </c>
      <c r="Q48" s="105">
        <f t="shared" si="13"/>
        <v>1619.7891746087876</v>
      </c>
      <c r="R48" s="105">
        <f t="shared" si="13"/>
        <v>1749.3723085774909</v>
      </c>
    </row>
    <row r="49" spans="11:18" x14ac:dyDescent="0.25">
      <c r="K49" t="s">
        <v>130</v>
      </c>
      <c r="L49" s="96">
        <f t="shared" si="13"/>
        <v>0.74436838564749286</v>
      </c>
      <c r="M49" s="105">
        <f t="shared" si="13"/>
        <v>434.74280411700812</v>
      </c>
      <c r="N49" s="105">
        <f t="shared" si="13"/>
        <v>469.52222844636884</v>
      </c>
      <c r="O49" s="105">
        <f t="shared" si="13"/>
        <v>507.08400672207836</v>
      </c>
      <c r="P49" s="105">
        <f t="shared" si="13"/>
        <v>547.65072725984464</v>
      </c>
      <c r="Q49" s="105">
        <f t="shared" si="13"/>
        <v>591.46278544063216</v>
      </c>
      <c r="R49" s="105">
        <f t="shared" si="13"/>
        <v>638.77980827588271</v>
      </c>
    </row>
    <row r="50" spans="11:18" x14ac:dyDescent="0.25">
      <c r="K50" t="s">
        <v>131</v>
      </c>
      <c r="L50" s="304" t="s">
        <v>23</v>
      </c>
      <c r="M50" s="304" t="s">
        <v>23</v>
      </c>
      <c r="N50" s="304" t="s">
        <v>23</v>
      </c>
      <c r="O50" s="304" t="s">
        <v>23</v>
      </c>
      <c r="P50" s="304" t="s">
        <v>23</v>
      </c>
      <c r="Q50" s="304" t="s">
        <v>23</v>
      </c>
      <c r="R50" s="304" t="s">
        <v>23</v>
      </c>
    </row>
    <row r="51" spans="11:18" x14ac:dyDescent="0.25">
      <c r="K51" t="s">
        <v>132</v>
      </c>
      <c r="L51" s="304" t="s">
        <v>23</v>
      </c>
      <c r="M51" s="304" t="s">
        <v>23</v>
      </c>
      <c r="N51" s="304" t="s">
        <v>23</v>
      </c>
      <c r="O51" s="304" t="s">
        <v>23</v>
      </c>
      <c r="P51" s="304" t="s">
        <v>23</v>
      </c>
      <c r="Q51" s="304" t="s">
        <v>23</v>
      </c>
      <c r="R51" s="304" t="s">
        <v>23</v>
      </c>
    </row>
    <row r="52" spans="11:18" x14ac:dyDescent="0.25">
      <c r="K52" s="181" t="s">
        <v>10</v>
      </c>
      <c r="L52" s="181"/>
      <c r="M52" s="183">
        <f>SUM(M47:M51)</f>
        <v>7091.1224729831647</v>
      </c>
      <c r="N52" s="183">
        <f>SUM(N47:N51)</f>
        <v>7658.4122708218192</v>
      </c>
      <c r="O52" s="183">
        <f t="shared" ref="O52:R52" si="14">SUM(O47:O51)</f>
        <v>8271.0852524875645</v>
      </c>
      <c r="P52" s="183">
        <f t="shared" si="14"/>
        <v>8932.7720726865682</v>
      </c>
      <c r="Q52" s="183">
        <f t="shared" si="14"/>
        <v>9647.3938385014935</v>
      </c>
      <c r="R52" s="183">
        <f t="shared" si="14"/>
        <v>10419.185345581616</v>
      </c>
    </row>
  </sheetData>
  <phoneticPr fontId="1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310EA-CAE4-4A3C-9338-4B0776AF1854}">
  <sheetPr>
    <tabColor theme="5" tint="0.79998168889431442"/>
  </sheetPr>
  <dimension ref="B2:N11"/>
  <sheetViews>
    <sheetView showGridLines="0" zoomScale="85" zoomScaleNormal="85" workbookViewId="0">
      <selection activeCell="K8" sqref="K8"/>
    </sheetView>
  </sheetViews>
  <sheetFormatPr defaultColWidth="9" defaultRowHeight="15" outlineLevelCol="1" x14ac:dyDescent="0.25"/>
  <cols>
    <col min="1" max="1" width="9" style="119"/>
    <col min="2" max="2" width="24.625" style="119" bestFit="1" customWidth="1"/>
    <col min="3" max="3" width="9" style="119"/>
    <col min="4" max="5" width="15.625" style="119" customWidth="1"/>
    <col min="6" max="9" width="15.625" style="119" hidden="1" customWidth="1" outlineLevel="1"/>
    <col min="10" max="10" width="15.625" style="119" customWidth="1" collapsed="1"/>
    <col min="11" max="14" width="15.625" style="119" customWidth="1"/>
    <col min="15" max="16384" width="9" style="119"/>
  </cols>
  <sheetData>
    <row r="2" spans="2:14" ht="17.25" x14ac:dyDescent="0.4">
      <c r="B2" s="128" t="s">
        <v>169</v>
      </c>
      <c r="C2" s="125"/>
      <c r="D2" s="118" t="s">
        <v>114</v>
      </c>
      <c r="E2" s="118"/>
      <c r="F2" s="118" t="s">
        <v>166</v>
      </c>
      <c r="G2" s="118"/>
      <c r="H2" s="118" t="s">
        <v>167</v>
      </c>
      <c r="I2" s="118"/>
      <c r="J2" s="118" t="s">
        <v>168</v>
      </c>
      <c r="K2" s="118"/>
      <c r="L2" s="118" t="s">
        <v>220</v>
      </c>
      <c r="M2" s="118"/>
      <c r="N2" s="118"/>
    </row>
    <row r="3" spans="2:14" ht="17.25" x14ac:dyDescent="0.4">
      <c r="B3" s="1" t="s">
        <v>165</v>
      </c>
      <c r="C3" s="1" t="s">
        <v>164</v>
      </c>
      <c r="D3" s="120">
        <v>44561</v>
      </c>
      <c r="E3" s="120">
        <v>44926</v>
      </c>
      <c r="F3" s="120">
        <v>44561</v>
      </c>
      <c r="G3" s="120">
        <v>44926</v>
      </c>
      <c r="H3" s="120">
        <v>44561</v>
      </c>
      <c r="I3" s="120">
        <v>44926</v>
      </c>
      <c r="J3" s="123" t="s">
        <v>166</v>
      </c>
      <c r="K3" s="123" t="s">
        <v>167</v>
      </c>
      <c r="L3" s="123" t="s">
        <v>221</v>
      </c>
      <c r="M3" s="123" t="s">
        <v>222</v>
      </c>
      <c r="N3" s="123" t="s">
        <v>223</v>
      </c>
    </row>
    <row r="4" spans="2:14" x14ac:dyDescent="0.25">
      <c r="B4" s="119" t="s">
        <v>151</v>
      </c>
      <c r="C4" s="119" t="s">
        <v>150</v>
      </c>
      <c r="D4" s="121" cm="1">
        <f t="array" ref="D4">IFERROR(_xll.FDS($C4,"FE_ESTIMATE(SALES,MEAN,ANN_ROLL,2021,NOW,,,'')"),"na")</f>
        <v>17108</v>
      </c>
      <c r="E4" s="121" cm="1">
        <f t="array" ref="E4">IFERROR(_xll.FDS($C4,"FE_ESTIMATE(SALES,MEAN,ANN_ROLL,2022,NOW,,,'')"),"na")</f>
        <v>18449</v>
      </c>
      <c r="F4" s="122">
        <v>6530</v>
      </c>
      <c r="G4" s="122">
        <v>6440</v>
      </c>
      <c r="H4" s="122">
        <v>7048</v>
      </c>
      <c r="I4" s="122">
        <v>7306</v>
      </c>
      <c r="J4" s="124">
        <f>AVERAGE(F4:G4)/AVERAGE(D4:E4)</f>
        <v>0.36476643136372583</v>
      </c>
      <c r="K4" s="124">
        <f>AVERAGE(H4:I4)/AVERAGE(D4:E4)</f>
        <v>0.40368985009983971</v>
      </c>
      <c r="L4" s="148">
        <v>64.44</v>
      </c>
      <c r="M4" s="148">
        <v>200.07</v>
      </c>
      <c r="N4" s="148">
        <v>48.01</v>
      </c>
    </row>
    <row r="5" spans="2:14" x14ac:dyDescent="0.25">
      <c r="B5" s="119" t="s">
        <v>153</v>
      </c>
      <c r="C5" s="119" t="s">
        <v>152</v>
      </c>
      <c r="D5" s="121" cm="1">
        <f t="array" ref="D5">IFERROR(_xll.FDS($C5,"FE_ESTIMATE(SALES,MEAN,ANN_ROLL,2021,NOW,,,'')"),"na")</f>
        <v>31686</v>
      </c>
      <c r="E5" s="121" cm="1">
        <f t="array" ref="E5">IFERROR(_xll.FDS($C5,"FE_ESTIMATE(SALES,MEAN,ANN_ROLL,2022,NOW,,,'')"),"na")</f>
        <v>31227</v>
      </c>
      <c r="F5" s="122">
        <v>12780</v>
      </c>
      <c r="G5" s="122">
        <v>12938</v>
      </c>
      <c r="H5" s="122">
        <f>12780+956</f>
        <v>13736</v>
      </c>
      <c r="I5" s="122">
        <f>12938+455</f>
        <v>13393</v>
      </c>
      <c r="J5" s="124">
        <f t="shared" ref="J5:J10" si="0">AVERAGE(F5:G5)/AVERAGE(D5:E5)</f>
        <v>0.408786737240316</v>
      </c>
      <c r="K5" s="124">
        <f t="shared" ref="K5:K10" si="1">AVERAGE(H5:I5)/AVERAGE(D5:E5)</f>
        <v>0.43121453435696916</v>
      </c>
      <c r="L5" s="148">
        <v>66.739999999999995</v>
      </c>
      <c r="M5" s="148">
        <v>133.88999999999999</v>
      </c>
      <c r="N5" s="148">
        <v>63.78</v>
      </c>
    </row>
    <row r="6" spans="2:14" x14ac:dyDescent="0.25">
      <c r="B6" s="119" t="s">
        <v>155</v>
      </c>
      <c r="C6" s="119" t="s">
        <v>154</v>
      </c>
      <c r="D6" s="121" cm="1">
        <f t="array" ref="D6">IFERROR(_xll.FDS($C6,"FE_ESTIMATE(SALES,MEAN,ANN_ROLL,2021,NOW,,,'')"),"na")</f>
        <v>11888</v>
      </c>
      <c r="E6" s="121" cm="1">
        <f t="array" ref="E6">IFERROR(_xll.FDS($C6,"FE_ESTIMATE(SALES,MEAN,ANN_ROLL,2022,NOW,,,'')"),"na")</f>
        <v>12682</v>
      </c>
      <c r="F6" s="122">
        <v>5490</v>
      </c>
      <c r="G6" s="122">
        <v>5843</v>
      </c>
      <c r="H6" s="122">
        <v>6978</v>
      </c>
      <c r="I6" s="122">
        <v>7078</v>
      </c>
      <c r="J6" s="124">
        <f t="shared" si="0"/>
        <v>0.46125356125356126</v>
      </c>
      <c r="K6" s="124">
        <f t="shared" si="1"/>
        <v>0.57207977207977212</v>
      </c>
      <c r="L6" s="148">
        <v>57.47</v>
      </c>
      <c r="M6" s="148">
        <v>125.08</v>
      </c>
      <c r="N6" s="148">
        <v>48.08</v>
      </c>
    </row>
    <row r="7" spans="2:14" x14ac:dyDescent="0.25">
      <c r="B7" s="119" t="s">
        <v>157</v>
      </c>
      <c r="C7" s="119" t="s">
        <v>156</v>
      </c>
      <c r="D7" s="121" cm="1">
        <f t="array" ref="D7">IFERROR(_xll.FDS($C7,"FE_ESTIMATE(SALES,MEAN,ANN_ROLL,2021,NOW,,,'')"),"na")</f>
        <v>17997</v>
      </c>
      <c r="E7" s="121" cm="1">
        <f t="array" ref="E7">IFERROR(_xll.FDS($C7,"FE_ESTIMATE(SALES,MEAN,ANN_ROLL,2022,NOW,,,'')"),"na")</f>
        <v>21714</v>
      </c>
      <c r="F7" s="122">
        <v>2817</v>
      </c>
      <c r="G7" s="122">
        <v>3408</v>
      </c>
      <c r="H7" s="122">
        <v>4989</v>
      </c>
      <c r="I7" s="122">
        <v>5486</v>
      </c>
      <c r="J7" s="124">
        <f t="shared" si="0"/>
        <v>0.15675757346830854</v>
      </c>
      <c r="K7" s="124">
        <f t="shared" si="1"/>
        <v>0.263780816398479</v>
      </c>
      <c r="L7" s="148">
        <v>129.09</v>
      </c>
      <c r="M7" s="148">
        <v>85.23</v>
      </c>
      <c r="N7" s="148">
        <v>53.04</v>
      </c>
    </row>
    <row r="8" spans="2:14" x14ac:dyDescent="0.25">
      <c r="B8" s="119" t="s">
        <v>159</v>
      </c>
      <c r="C8" s="119" t="s">
        <v>158</v>
      </c>
      <c r="D8" s="121" cm="1">
        <f t="array" ref="D8">IFERROR(_xll.FDS($C8,"FE_ESTIMATE(SALES,MEAN,ANN_ROLL,2021,NOW,,,'')"),"na")</f>
        <v>747.59</v>
      </c>
      <c r="E8" s="121" cm="1">
        <f t="array" ref="E8">IFERROR(_xll.FDS($C8,"FE_ESTIMATE(SALES,MEAN,ANN_ROLL,2022,NOW,,,'')"),"na")</f>
        <v>847.13300000000004</v>
      </c>
      <c r="F8" s="122">
        <v>378.33</v>
      </c>
      <c r="G8" s="122">
        <v>449.72</v>
      </c>
      <c r="H8" s="122">
        <v>482.88</v>
      </c>
      <c r="I8" s="122">
        <v>529.13</v>
      </c>
      <c r="J8" s="124">
        <f t="shared" si="0"/>
        <v>0.51924378089486389</v>
      </c>
      <c r="K8" s="124">
        <f t="shared" si="1"/>
        <v>0.63459923761054426</v>
      </c>
      <c r="L8" s="148">
        <v>65.03</v>
      </c>
      <c r="M8" s="148">
        <v>298.92</v>
      </c>
      <c r="N8" s="148">
        <v>17.690000000000001</v>
      </c>
    </row>
    <row r="9" spans="2:14" x14ac:dyDescent="0.25">
      <c r="B9" s="119" t="s">
        <v>161</v>
      </c>
      <c r="C9" s="119" t="s">
        <v>160</v>
      </c>
      <c r="D9" s="121" cm="1">
        <f t="array" ref="D9">IFERROR(_xll.FDS($C9,"FE_ESTIMATE(SALES,MEAN,ANN_ROLL,2021,NOW,,,'')"),"na")</f>
        <v>2809.5630000000001</v>
      </c>
      <c r="E9" s="121" cm="1">
        <f t="array" ref="E9">IFERROR(_xll.FDS($C9,"FE_ESTIMATE(SALES,MEAN,ANN_ROLL,2022,NOW,,,'')"),"na")</f>
        <v>2791.0410000000002</v>
      </c>
      <c r="F9" s="122">
        <v>860.1</v>
      </c>
      <c r="G9" s="122">
        <v>863.7</v>
      </c>
      <c r="H9" s="122">
        <v>1010.9</v>
      </c>
      <c r="I9" s="122">
        <v>1060.3</v>
      </c>
      <c r="J9" s="124">
        <f t="shared" si="0"/>
        <v>0.30778823141218342</v>
      </c>
      <c r="K9" s="124">
        <f t="shared" si="1"/>
        <v>0.36981725542459343</v>
      </c>
      <c r="L9" s="148">
        <v>53.84</v>
      </c>
      <c r="M9" s="148">
        <v>148.19</v>
      </c>
      <c r="N9" s="148">
        <v>32.61</v>
      </c>
    </row>
    <row r="10" spans="2:14" x14ac:dyDescent="0.25">
      <c r="B10" s="119" t="s">
        <v>163</v>
      </c>
      <c r="C10" s="119" t="s">
        <v>162</v>
      </c>
      <c r="D10" s="121" cm="1">
        <f t="array" ref="D10">IFERROR(_xll.FDS($C10,"FE_ESTIMATE(SALES,MEAN,ANN_ROLL,2021,NOW,,,'')"),"na")</f>
        <v>1074.751</v>
      </c>
      <c r="E10" s="121" cm="1">
        <f t="array" ref="E10">IFERROR(_xll.FDS($C10,"FE_ESTIMATE(SALES,MEAN,ANN_ROLL,2022,NOW,,,'')"),"na")</f>
        <v>1150.981</v>
      </c>
      <c r="F10" s="122">
        <v>338.9</v>
      </c>
      <c r="G10" s="122">
        <v>347.1</v>
      </c>
      <c r="H10" s="122">
        <v>424.4</v>
      </c>
      <c r="I10" s="122">
        <v>431.5</v>
      </c>
      <c r="J10" s="124">
        <f t="shared" si="0"/>
        <v>0.30821320805919133</v>
      </c>
      <c r="K10" s="124">
        <f t="shared" si="1"/>
        <v>0.38454764544877817</v>
      </c>
      <c r="L10" s="148">
        <v>57.42</v>
      </c>
      <c r="M10" s="148">
        <v>128.46</v>
      </c>
      <c r="N10" s="148">
        <v>31.22</v>
      </c>
    </row>
    <row r="11" spans="2:14" x14ac:dyDescent="0.25">
      <c r="B11" s="126" t="s">
        <v>97</v>
      </c>
      <c r="C11" s="126"/>
      <c r="D11" s="126"/>
      <c r="E11" s="126"/>
      <c r="F11" s="126"/>
      <c r="G11" s="126"/>
      <c r="H11" s="126"/>
      <c r="I11" s="126"/>
      <c r="J11" s="127">
        <f>AVERAGE(J4:J10)</f>
        <v>0.36097278909887864</v>
      </c>
      <c r="K11" s="127">
        <f>AVERAGE(K4:K10)</f>
        <v>0.43710415877413933</v>
      </c>
      <c r="L11" s="147">
        <f t="shared" ref="L11:N11" si="2">AVERAGE(L4:L10)</f>
        <v>70.575714285714284</v>
      </c>
      <c r="M11" s="147">
        <f t="shared" si="2"/>
        <v>159.97714285714287</v>
      </c>
      <c r="N11" s="147">
        <f t="shared" si="2"/>
        <v>42.061428571428564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3FF38F762AC8C458C8B516450B37639" ma:contentTypeVersion="6" ma:contentTypeDescription="Create a new document." ma:contentTypeScope="" ma:versionID="04cf324acb0b13c800216ad113045608">
  <xsd:schema xmlns:xsd="http://www.w3.org/2001/XMLSchema" xmlns:xs="http://www.w3.org/2001/XMLSchema" xmlns:p="http://schemas.microsoft.com/office/2006/metadata/properties" xmlns:ns3="269f1960-4a97-4638-88f4-a3c9b004e6c7" targetNamespace="http://schemas.microsoft.com/office/2006/metadata/properties" ma:root="true" ma:fieldsID="bbcbfef9c308c308f06fa686052c6dc3" ns3:_="">
    <xsd:import namespace="269f1960-4a97-4638-88f4-a3c9b004e6c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9f1960-4a97-4638-88f4-a3c9b004e6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69f1960-4a97-4638-88f4-a3c9b004e6c7" xsi:nil="true"/>
  </documentManagement>
</p:properties>
</file>

<file path=customXml/item4.xml><?xml version="1.0" encoding="utf-8"?>
<FdsFormulaCache xmlns="urn:fdsformulacache" version="2" timestamp="1695759890"><![CDATA[{"MMSI-US^FE_ESTIMATE(SALES,MEAN,ANN_ROLL,2022,NOW,,,'')":1150.981,"MMSI-US^FE_ESTIMATE(SALES,MEAN,ANN_ROLL,2021,NOW,,,'')":1074.751,"TFX-US^FE_ESTIMATE(SALES,MEAN,ANN_ROLL,2022,NOW,,,'')":2791.041,"TFX-US^FE_ESTIMATE(SALES,MEAN,ANN_ROLL,2021,NOW,,,'')":2809.563,"PEN-US^FE_ESTIMATE(SALES,MEAN,ANN_ROLL,2022,NOW,,,'')":847.133,"PEN-US^FE_ESTIMATE(SALES,MEAN,ANN_ROLL,2021,NOW,,,'')":747.59,"SEMHF-US^FE_ESTIMATE(SALES,MEAN,ANN_ROLL,2022,NOW,,,'')":21714.0,"SEMHF-US^FE_ESTIMATE(SALES,MEAN,ANN_ROLL,2021,NOW,,,'')":17997.0,"BSX-US^FE_ESTIMATE(SALES,MEAN,ANN_ROLL,2022,NOW,,,'')":12682.0,"BSX-US^FE_ESTIMATE(SALES,MEAN,ANN_ROLL,2021,NOW,,,'')":11888.0,"MDT-US^FE_ESTIMATE(SALES,MEAN,ANN_ROLL,2022,NOW,,,'')":31227.0,"MDT-US^FE_ESTIMATE(SALES,MEAN,ANN_ROLL,2021,NOW,,,'')":31686.0,"SYK-US^FE_ESTIMATE(SALES,MEAN,ANN_ROLL,2022,NOW,,,'')":18449.0,"SYK-US^FE_ESTIMATE(SALES,MEAN,ANN_ROLL,2021,NOW,,,'')":17108.0}]]></FdsFormulaCache>
</file>

<file path=customXml/itemProps1.xml><?xml version="1.0" encoding="utf-8"?>
<ds:datastoreItem xmlns:ds="http://schemas.openxmlformats.org/officeDocument/2006/customXml" ds:itemID="{01108FE0-BED4-49EE-9A63-68822E35D2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9f1960-4a97-4638-88f4-a3c9b004e6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FBBEFF-9C34-43A3-BEED-E5AA258A082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6F7501-ED0E-4EA8-B928-8C0498F190D0}">
  <ds:schemaRefs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dcmitype/"/>
    <ds:schemaRef ds:uri="http://www.w3.org/XML/1998/namespace"/>
    <ds:schemaRef ds:uri="http://schemas.openxmlformats.org/package/2006/metadata/core-properties"/>
    <ds:schemaRef ds:uri="269f1960-4a97-4638-88f4-a3c9b004e6c7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ED45C7D9-5B02-48FD-BB65-FA8CDA93ED77}">
  <ds:schemaRefs>
    <ds:schemaRef ds:uri="urn:fdsformulacach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Key Assumptions + Summary</vt:lpstr>
      <vt:lpstr>3-Statement Model</vt:lpstr>
      <vt:lpstr>Sales, COGS, Sales Team</vt:lpstr>
      <vt:lpstr>Control Sheets &gt;&gt;</vt:lpstr>
      <vt:lpstr>Ekobi COGs - May 2023</vt:lpstr>
      <vt:lpstr>Market Size</vt:lpstr>
      <vt:lpstr>Benchmarking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Joshua Urquhart</dc:creator>
  <cp:lastModifiedBy>Justin Barragan</cp:lastModifiedBy>
  <cp:lastPrinted>2023-06-12T18:43:13Z</cp:lastPrinted>
  <dcterms:created xsi:type="dcterms:W3CDTF">2022-12-23T19:43:13Z</dcterms:created>
  <dcterms:modified xsi:type="dcterms:W3CDTF">2023-10-11T20:26:06Z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0x01010023FF38F762AC8C458C8B516450B37639</vt:lpwstr>
  </property>
</Properties>
</file>